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20115" windowHeight="8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285" i="1" l="1"/>
  <c r="Q285" i="1" s="1"/>
  <c r="Q292" i="1"/>
  <c r="Q284" i="1"/>
  <c r="Q276" i="1"/>
  <c r="Q268" i="1"/>
  <c r="Q262" i="1"/>
  <c r="Q254" i="1"/>
  <c r="O277" i="1"/>
  <c r="O269" i="1"/>
  <c r="S277" i="1"/>
  <c r="Q277" i="1" s="1"/>
  <c r="S269" i="1"/>
  <c r="Q269" i="1" s="1"/>
  <c r="T261" i="1"/>
  <c r="S261" i="1"/>
  <c r="S253" i="1"/>
  <c r="Q261" i="1"/>
  <c r="Q260" i="1"/>
  <c r="Q253" i="1"/>
  <c r="Q252" i="1"/>
  <c r="Q245" i="1"/>
  <c r="Q244" i="1"/>
  <c r="O285" i="1" l="1"/>
  <c r="S293" i="1"/>
  <c r="Q293" i="1" s="1"/>
  <c r="O293" i="1" s="1"/>
  <c r="O54" i="1"/>
  <c r="O53" i="1"/>
  <c r="O52" i="1"/>
  <c r="P44" i="1"/>
  <c r="P48" i="1" s="1"/>
  <c r="N238" i="1" l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J154" i="1"/>
  <c r="G154" i="1" s="1"/>
  <c r="I155" i="1" s="1"/>
  <c r="J155" i="1" s="1"/>
  <c r="F154" i="1"/>
  <c r="I154" i="1"/>
  <c r="H154" i="1"/>
  <c r="I84" i="1"/>
  <c r="B155" i="1"/>
  <c r="C155" i="1" s="1"/>
  <c r="D155" i="1" s="1"/>
  <c r="N25" i="1"/>
  <c r="O25" i="1" s="1"/>
  <c r="O26" i="1" l="1"/>
  <c r="B156" i="1"/>
  <c r="B157" i="1" s="1"/>
  <c r="C157" i="1" s="1"/>
  <c r="D157" i="1" s="1"/>
  <c r="B158" i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E131" i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M118" i="1"/>
  <c r="I118" i="1"/>
  <c r="H118" i="1"/>
  <c r="I85" i="1"/>
  <c r="C85" i="1"/>
  <c r="J84" i="1"/>
  <c r="H85" i="1"/>
  <c r="H86" i="1" s="1"/>
  <c r="H87" i="1" s="1"/>
  <c r="H88" i="1" s="1"/>
  <c r="H89" i="1" s="1"/>
  <c r="H90" i="1" s="1"/>
  <c r="H91" i="1" s="1"/>
  <c r="H92" i="1" s="1"/>
  <c r="H93" i="1" s="1"/>
  <c r="J113" i="1"/>
  <c r="J112" i="1"/>
  <c r="J111" i="1"/>
  <c r="J110" i="1"/>
  <c r="J109" i="1"/>
  <c r="J107" i="1"/>
  <c r="J106" i="1"/>
  <c r="J104" i="1"/>
  <c r="J103" i="1"/>
  <c r="J101" i="1"/>
  <c r="J100" i="1"/>
  <c r="J98" i="1"/>
  <c r="J97" i="1"/>
  <c r="J95" i="1"/>
  <c r="J94" i="1"/>
  <c r="J92" i="1"/>
  <c r="J91" i="1"/>
  <c r="J89" i="1"/>
  <c r="J88" i="1"/>
  <c r="J86" i="1"/>
  <c r="J85" i="1"/>
  <c r="M121" i="1"/>
  <c r="M122" i="1" s="1"/>
  <c r="J121" i="1"/>
  <c r="D118" i="1"/>
  <c r="J115" i="1"/>
  <c r="J114" i="1"/>
  <c r="J108" i="1"/>
  <c r="J105" i="1"/>
  <c r="J102" i="1"/>
  <c r="J99" i="1"/>
  <c r="J96" i="1"/>
  <c r="J93" i="1"/>
  <c r="J90" i="1"/>
  <c r="J87" i="1"/>
  <c r="C15" i="1"/>
  <c r="K46" i="1"/>
  <c r="K47" i="1"/>
  <c r="J62" i="1"/>
  <c r="J68" i="1"/>
  <c r="J69" i="1" s="1"/>
  <c r="J72" i="1" s="1"/>
  <c r="J71" i="1"/>
  <c r="J73" i="1"/>
  <c r="W99" i="1" l="1"/>
  <c r="M99" i="1"/>
  <c r="W102" i="1"/>
  <c r="M102" i="1"/>
  <c r="O102" i="1" s="1"/>
  <c r="P102" i="1" s="1"/>
  <c r="Q102" i="1" s="1"/>
  <c r="W114" i="1"/>
  <c r="M114" i="1"/>
  <c r="W88" i="1"/>
  <c r="M88" i="1"/>
  <c r="W87" i="1"/>
  <c r="M87" i="1"/>
  <c r="O87" i="1" s="1"/>
  <c r="P87" i="1" s="1"/>
  <c r="Q87" i="1" s="1"/>
  <c r="W96" i="1"/>
  <c r="M96" i="1"/>
  <c r="N120" i="1" s="1"/>
  <c r="M105" i="1"/>
  <c r="W105" i="1"/>
  <c r="W85" i="1"/>
  <c r="M85" i="1"/>
  <c r="O85" i="1" s="1"/>
  <c r="P85" i="1" s="1"/>
  <c r="Q85" i="1" s="1"/>
  <c r="W89" i="1"/>
  <c r="M89" i="1"/>
  <c r="W94" i="1"/>
  <c r="M94" i="1"/>
  <c r="W98" i="1"/>
  <c r="M98" i="1"/>
  <c r="O98" i="1" s="1"/>
  <c r="P98" i="1" s="1"/>
  <c r="Q98" i="1" s="1"/>
  <c r="W103" i="1"/>
  <c r="M103" i="1"/>
  <c r="O103" i="1" s="1"/>
  <c r="P103" i="1" s="1"/>
  <c r="Q103" i="1" s="1"/>
  <c r="W107" i="1"/>
  <c r="M107" i="1"/>
  <c r="W111" i="1"/>
  <c r="M111" i="1"/>
  <c r="C156" i="1"/>
  <c r="D156" i="1" s="1"/>
  <c r="W90" i="1"/>
  <c r="M90" i="1"/>
  <c r="O90" i="1" s="1"/>
  <c r="P90" i="1" s="1"/>
  <c r="Q90" i="1" s="1"/>
  <c r="W108" i="1"/>
  <c r="M108" i="1"/>
  <c r="W86" i="1"/>
  <c r="M86" i="1"/>
  <c r="W91" i="1"/>
  <c r="M91" i="1"/>
  <c r="O91" i="1" s="1"/>
  <c r="P91" i="1" s="1"/>
  <c r="Q91" i="1" s="1"/>
  <c r="W95" i="1"/>
  <c r="M95" i="1"/>
  <c r="W100" i="1"/>
  <c r="M100" i="1"/>
  <c r="W104" i="1"/>
  <c r="M104" i="1"/>
  <c r="O104" i="1" s="1"/>
  <c r="P104" i="1" s="1"/>
  <c r="Q104" i="1" s="1"/>
  <c r="W109" i="1"/>
  <c r="M109" i="1"/>
  <c r="W112" i="1"/>
  <c r="M112" i="1"/>
  <c r="N114" i="1"/>
  <c r="N111" i="1"/>
  <c r="N108" i="1"/>
  <c r="N102" i="1"/>
  <c r="N93" i="1"/>
  <c r="W84" i="1"/>
  <c r="N113" i="1"/>
  <c r="N110" i="1"/>
  <c r="O110" i="1" s="1"/>
  <c r="P110" i="1" s="1"/>
  <c r="Q110" i="1" s="1"/>
  <c r="N107" i="1"/>
  <c r="N104" i="1"/>
  <c r="N101" i="1"/>
  <c r="N95" i="1"/>
  <c r="N86" i="1"/>
  <c r="O86" i="1" s="1"/>
  <c r="P86" i="1" s="1"/>
  <c r="Q86" i="1" s="1"/>
  <c r="X85" i="1" s="1"/>
  <c r="N112" i="1"/>
  <c r="O112" i="1" s="1"/>
  <c r="P112" i="1" s="1"/>
  <c r="Q112" i="1" s="1"/>
  <c r="N109" i="1"/>
  <c r="N106" i="1"/>
  <c r="N103" i="1"/>
  <c r="N100" i="1"/>
  <c r="N97" i="1"/>
  <c r="N94" i="1"/>
  <c r="O94" i="1" s="1"/>
  <c r="P94" i="1" s="1"/>
  <c r="Q94" i="1" s="1"/>
  <c r="N91" i="1"/>
  <c r="N88" i="1"/>
  <c r="O88" i="1" s="1"/>
  <c r="P88" i="1" s="1"/>
  <c r="Q88" i="1" s="1"/>
  <c r="N85" i="1"/>
  <c r="N105" i="1"/>
  <c r="N99" i="1"/>
  <c r="N96" i="1"/>
  <c r="O96" i="1" s="1"/>
  <c r="P96" i="1" s="1"/>
  <c r="Q96" i="1" s="1"/>
  <c r="N90" i="1"/>
  <c r="N87" i="1"/>
  <c r="N84" i="1"/>
  <c r="E120" i="1" s="1"/>
  <c r="N98" i="1"/>
  <c r="N92" i="1"/>
  <c r="N89" i="1"/>
  <c r="M84" i="1"/>
  <c r="K120" i="1" s="1"/>
  <c r="M93" i="1"/>
  <c r="W93" i="1"/>
  <c r="W92" i="1"/>
  <c r="M92" i="1"/>
  <c r="O92" i="1" s="1"/>
  <c r="P92" i="1" s="1"/>
  <c r="Q92" i="1" s="1"/>
  <c r="W97" i="1"/>
  <c r="M97" i="1"/>
  <c r="W101" i="1"/>
  <c r="M101" i="1"/>
  <c r="W106" i="1"/>
  <c r="M106" i="1"/>
  <c r="W110" i="1"/>
  <c r="M110" i="1"/>
  <c r="W113" i="1"/>
  <c r="M113" i="1"/>
  <c r="O113" i="1" s="1"/>
  <c r="P113" i="1" s="1"/>
  <c r="Q113" i="1" s="1"/>
  <c r="I86" i="1"/>
  <c r="B159" i="1"/>
  <c r="C158" i="1"/>
  <c r="D158" i="1" s="1"/>
  <c r="K44" i="1"/>
  <c r="H94" i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O99" i="1"/>
  <c r="P99" i="1" s="1"/>
  <c r="Q99" i="1" s="1"/>
  <c r="O101" i="1"/>
  <c r="P101" i="1" s="1"/>
  <c r="Q101" i="1" s="1"/>
  <c r="N118" i="1"/>
  <c r="O118" i="1" s="1"/>
  <c r="Q118" i="1" s="1"/>
  <c r="O114" i="1"/>
  <c r="P114" i="1" s="1"/>
  <c r="Q114" i="1" s="1"/>
  <c r="O95" i="1"/>
  <c r="P95" i="1" s="1"/>
  <c r="Q95" i="1" s="1"/>
  <c r="O105" i="1"/>
  <c r="P105" i="1" s="1"/>
  <c r="Q105" i="1" s="1"/>
  <c r="O107" i="1"/>
  <c r="P107" i="1" s="1"/>
  <c r="Q107" i="1" s="1"/>
  <c r="O108" i="1"/>
  <c r="P108" i="1" s="1"/>
  <c r="Q108" i="1" s="1"/>
  <c r="O111" i="1"/>
  <c r="P111" i="1" s="1"/>
  <c r="Q111" i="1" s="1"/>
  <c r="J120" i="1"/>
  <c r="J123" i="1" s="1"/>
  <c r="M120" i="1"/>
  <c r="O89" i="1"/>
  <c r="P89" i="1" s="1"/>
  <c r="Q89" i="1" s="1"/>
  <c r="O93" i="1"/>
  <c r="P93" i="1" s="1"/>
  <c r="Q93" i="1" s="1"/>
  <c r="O97" i="1"/>
  <c r="P97" i="1" s="1"/>
  <c r="Q97" i="1" s="1"/>
  <c r="O100" i="1"/>
  <c r="P100" i="1" s="1"/>
  <c r="Q100" i="1" s="1"/>
  <c r="O106" i="1"/>
  <c r="P106" i="1" s="1"/>
  <c r="Q106" i="1" s="1"/>
  <c r="O109" i="1"/>
  <c r="P109" i="1" s="1"/>
  <c r="Q109" i="1" s="1"/>
  <c r="R53" i="1" l="1"/>
  <c r="R48" i="1"/>
  <c r="R52" i="1"/>
  <c r="O84" i="1"/>
  <c r="P84" i="1" s="1"/>
  <c r="Q84" i="1" s="1"/>
  <c r="X84" i="1" s="1"/>
  <c r="I87" i="1"/>
  <c r="X86" i="1" s="1"/>
  <c r="C159" i="1"/>
  <c r="D159" i="1" s="1"/>
  <c r="B160" i="1"/>
  <c r="R85" i="1"/>
  <c r="P116" i="1" l="1"/>
  <c r="T85" i="1"/>
  <c r="U85" i="1"/>
  <c r="I88" i="1"/>
  <c r="X87" i="1" s="1"/>
  <c r="C160" i="1"/>
  <c r="D160" i="1" s="1"/>
  <c r="B161" i="1"/>
  <c r="R86" i="1"/>
  <c r="T86" i="1" l="1"/>
  <c r="U86" i="1"/>
  <c r="I89" i="1"/>
  <c r="X88" i="1" s="1"/>
  <c r="B162" i="1"/>
  <c r="C161" i="1"/>
  <c r="D161" i="1" s="1"/>
  <c r="R87" i="1"/>
  <c r="V114" i="1"/>
  <c r="V111" i="1"/>
  <c r="V108" i="1"/>
  <c r="V105" i="1"/>
  <c r="V102" i="1"/>
  <c r="V99" i="1"/>
  <c r="V96" i="1"/>
  <c r="V93" i="1"/>
  <c r="V90" i="1"/>
  <c r="V87" i="1"/>
  <c r="V84" i="1"/>
  <c r="V113" i="1"/>
  <c r="V110" i="1"/>
  <c r="V107" i="1"/>
  <c r="V104" i="1"/>
  <c r="V101" i="1"/>
  <c r="V98" i="1"/>
  <c r="V95" i="1"/>
  <c r="V92" i="1"/>
  <c r="V89" i="1"/>
  <c r="V86" i="1"/>
  <c r="V112" i="1"/>
  <c r="V109" i="1"/>
  <c r="V106" i="1"/>
  <c r="V103" i="1"/>
  <c r="V100" i="1"/>
  <c r="V97" i="1"/>
  <c r="V94" i="1"/>
  <c r="V91" i="1"/>
  <c r="V88" i="1"/>
  <c r="V85" i="1"/>
  <c r="I90" i="1" l="1"/>
  <c r="X89" i="1" s="1"/>
  <c r="T87" i="1"/>
  <c r="U87" i="1"/>
  <c r="C162" i="1"/>
  <c r="D162" i="1" s="1"/>
  <c r="B163" i="1"/>
  <c r="R88" i="1"/>
  <c r="T88" i="1" l="1"/>
  <c r="U88" i="1"/>
  <c r="I91" i="1"/>
  <c r="X90" i="1" s="1"/>
  <c r="B164" i="1"/>
  <c r="C163" i="1"/>
  <c r="D163" i="1" s="1"/>
  <c r="R89" i="1"/>
  <c r="T89" i="1" l="1"/>
  <c r="U89" i="1"/>
  <c r="I92" i="1"/>
  <c r="X91" i="1" s="1"/>
  <c r="C164" i="1"/>
  <c r="D164" i="1" s="1"/>
  <c r="B165" i="1"/>
  <c r="R90" i="1"/>
  <c r="T90" i="1" l="1"/>
  <c r="U90" i="1"/>
  <c r="I93" i="1"/>
  <c r="X92" i="1" s="1"/>
  <c r="C165" i="1"/>
  <c r="D165" i="1" s="1"/>
  <c r="B166" i="1"/>
  <c r="R91" i="1"/>
  <c r="I94" i="1" l="1"/>
  <c r="X93" i="1" s="1"/>
  <c r="T91" i="1"/>
  <c r="U91" i="1"/>
  <c r="B167" i="1"/>
  <c r="C166" i="1"/>
  <c r="D166" i="1" s="1"/>
  <c r="R92" i="1"/>
  <c r="I95" i="1" l="1"/>
  <c r="X94" i="1" s="1"/>
  <c r="T92" i="1"/>
  <c r="U92" i="1"/>
  <c r="C167" i="1"/>
  <c r="D167" i="1" s="1"/>
  <c r="B168" i="1"/>
  <c r="R93" i="1"/>
  <c r="T93" i="1" l="1"/>
  <c r="U93" i="1"/>
  <c r="I96" i="1"/>
  <c r="X95" i="1" s="1"/>
  <c r="B169" i="1"/>
  <c r="C168" i="1"/>
  <c r="D168" i="1" s="1"/>
  <c r="R94" i="1"/>
  <c r="I97" i="1" l="1"/>
  <c r="X96" i="1" s="1"/>
  <c r="T94" i="1"/>
  <c r="U94" i="1"/>
  <c r="C169" i="1"/>
  <c r="D169" i="1" s="1"/>
  <c r="B170" i="1"/>
  <c r="R95" i="1"/>
  <c r="T95" i="1" l="1"/>
  <c r="U95" i="1"/>
  <c r="I98" i="1"/>
  <c r="X97" i="1" s="1"/>
  <c r="C170" i="1"/>
  <c r="D170" i="1" s="1"/>
  <c r="B171" i="1"/>
  <c r="R96" i="1"/>
  <c r="T96" i="1" l="1"/>
  <c r="U96" i="1"/>
  <c r="I99" i="1"/>
  <c r="X98" i="1" s="1"/>
  <c r="B172" i="1"/>
  <c r="C171" i="1"/>
  <c r="D171" i="1" s="1"/>
  <c r="R97" i="1"/>
  <c r="T97" i="1" l="1"/>
  <c r="U97" i="1"/>
  <c r="I100" i="1"/>
  <c r="X99" i="1" s="1"/>
  <c r="C172" i="1"/>
  <c r="D172" i="1" s="1"/>
  <c r="B173" i="1"/>
  <c r="R98" i="1"/>
  <c r="I101" i="1" l="1"/>
  <c r="X100" i="1" s="1"/>
  <c r="T98" i="1"/>
  <c r="U98" i="1"/>
  <c r="C173" i="1"/>
  <c r="D173" i="1" s="1"/>
  <c r="B174" i="1"/>
  <c r="R99" i="1"/>
  <c r="T99" i="1" l="1"/>
  <c r="U99" i="1"/>
  <c r="I102" i="1"/>
  <c r="X101" i="1" s="1"/>
  <c r="B175" i="1"/>
  <c r="C174" i="1"/>
  <c r="D174" i="1" s="1"/>
  <c r="R100" i="1"/>
  <c r="T100" i="1" l="1"/>
  <c r="U100" i="1"/>
  <c r="I103" i="1"/>
  <c r="X102" i="1" s="1"/>
  <c r="C175" i="1"/>
  <c r="D175" i="1" s="1"/>
  <c r="B176" i="1"/>
  <c r="R101" i="1"/>
  <c r="T101" i="1" l="1"/>
  <c r="U101" i="1"/>
  <c r="I104" i="1"/>
  <c r="X103" i="1" s="1"/>
  <c r="C176" i="1"/>
  <c r="D176" i="1" s="1"/>
  <c r="B177" i="1"/>
  <c r="R102" i="1"/>
  <c r="T102" i="1" l="1"/>
  <c r="U102" i="1"/>
  <c r="I105" i="1"/>
  <c r="X104" i="1" s="1"/>
  <c r="C177" i="1"/>
  <c r="D177" i="1" s="1"/>
  <c r="B178" i="1"/>
  <c r="R103" i="1"/>
  <c r="T103" i="1" l="1"/>
  <c r="U103" i="1"/>
  <c r="I106" i="1"/>
  <c r="X105" i="1" s="1"/>
  <c r="C178" i="1"/>
  <c r="D178" i="1" s="1"/>
  <c r="B179" i="1"/>
  <c r="R104" i="1"/>
  <c r="T104" i="1" l="1"/>
  <c r="U104" i="1"/>
  <c r="I107" i="1"/>
  <c r="X106" i="1" s="1"/>
  <c r="C179" i="1"/>
  <c r="D179" i="1" s="1"/>
  <c r="B180" i="1"/>
  <c r="R105" i="1"/>
  <c r="I108" i="1" l="1"/>
  <c r="X107" i="1" s="1"/>
  <c r="T105" i="1"/>
  <c r="U105" i="1"/>
  <c r="C180" i="1"/>
  <c r="D180" i="1" s="1"/>
  <c r="B181" i="1"/>
  <c r="R106" i="1"/>
  <c r="T106" i="1" l="1"/>
  <c r="U106" i="1"/>
  <c r="I109" i="1"/>
  <c r="X108" i="1" s="1"/>
  <c r="C181" i="1"/>
  <c r="D181" i="1" s="1"/>
  <c r="B182" i="1"/>
  <c r="R107" i="1"/>
  <c r="I110" i="1" l="1"/>
  <c r="X109" i="1" s="1"/>
  <c r="T107" i="1"/>
  <c r="U107" i="1"/>
  <c r="C182" i="1"/>
  <c r="D182" i="1" s="1"/>
  <c r="B183" i="1"/>
  <c r="R108" i="1"/>
  <c r="T108" i="1" l="1"/>
  <c r="U108" i="1"/>
  <c r="I111" i="1"/>
  <c r="X110" i="1" s="1"/>
  <c r="C183" i="1"/>
  <c r="D183" i="1" s="1"/>
  <c r="B184" i="1"/>
  <c r="R109" i="1"/>
  <c r="I112" i="1" l="1"/>
  <c r="X111" i="1" s="1"/>
  <c r="T109" i="1"/>
  <c r="U109" i="1"/>
  <c r="C184" i="1"/>
  <c r="R110" i="1"/>
  <c r="D184" i="1" l="1"/>
  <c r="C185" i="1"/>
  <c r="T110" i="1"/>
  <c r="U110" i="1"/>
  <c r="I113" i="1"/>
  <c r="X112" i="1" s="1"/>
  <c r="R111" i="1"/>
  <c r="D185" i="1" l="1"/>
  <c r="B185" i="1"/>
  <c r="C186" i="1"/>
  <c r="I114" i="1"/>
  <c r="T111" i="1"/>
  <c r="U111" i="1"/>
  <c r="R112" i="1"/>
  <c r="X114" i="1" l="1"/>
  <c r="X113" i="1"/>
  <c r="D186" i="1"/>
  <c r="B186" i="1"/>
  <c r="C187" i="1"/>
  <c r="T112" i="1"/>
  <c r="U112" i="1"/>
  <c r="R113" i="1"/>
  <c r="D187" i="1" l="1"/>
  <c r="B187" i="1"/>
  <c r="C188" i="1"/>
  <c r="T113" i="1"/>
  <c r="U113" i="1"/>
  <c r="R114" i="1"/>
  <c r="B188" i="1" l="1"/>
  <c r="C189" i="1"/>
  <c r="D188" i="1"/>
  <c r="T114" i="1"/>
  <c r="U114" i="1"/>
  <c r="B189" i="1" l="1"/>
  <c r="C190" i="1"/>
  <c r="D189" i="1"/>
  <c r="B190" i="1" l="1"/>
  <c r="D190" i="1"/>
  <c r="C191" i="1"/>
  <c r="B191" i="1" l="1"/>
  <c r="D191" i="1"/>
  <c r="C192" i="1"/>
  <c r="B192" i="1" l="1"/>
  <c r="D192" i="1"/>
  <c r="C193" i="1"/>
  <c r="B193" i="1" l="1"/>
  <c r="D193" i="1"/>
  <c r="C194" i="1"/>
  <c r="B194" i="1" l="1"/>
  <c r="C195" i="1"/>
  <c r="D194" i="1"/>
  <c r="B195" i="1" l="1"/>
  <c r="C196" i="1"/>
  <c r="D195" i="1"/>
  <c r="B196" i="1" l="1"/>
  <c r="C197" i="1"/>
  <c r="D196" i="1"/>
  <c r="B197" i="1" l="1"/>
  <c r="D197" i="1"/>
  <c r="C198" i="1"/>
  <c r="B198" i="1" l="1"/>
  <c r="C199" i="1"/>
  <c r="D198" i="1"/>
  <c r="B199" i="1" l="1"/>
  <c r="C200" i="1"/>
  <c r="D199" i="1"/>
  <c r="B200" i="1" l="1"/>
  <c r="D200" i="1"/>
  <c r="C201" i="1"/>
  <c r="B201" i="1" l="1"/>
  <c r="D201" i="1"/>
  <c r="C202" i="1"/>
  <c r="B202" i="1" l="1"/>
  <c r="C203" i="1"/>
  <c r="D202" i="1"/>
  <c r="B203" i="1" l="1"/>
  <c r="D203" i="1"/>
  <c r="C204" i="1"/>
  <c r="B204" i="1" l="1"/>
  <c r="D204" i="1"/>
  <c r="C205" i="1"/>
  <c r="B205" i="1" l="1"/>
  <c r="C206" i="1"/>
  <c r="D205" i="1"/>
  <c r="B206" i="1" l="1"/>
  <c r="C207" i="1"/>
  <c r="D206" i="1"/>
  <c r="B207" i="1" l="1"/>
  <c r="C208" i="1"/>
  <c r="D207" i="1"/>
  <c r="B208" i="1" l="1"/>
  <c r="D208" i="1"/>
  <c r="C209" i="1"/>
  <c r="B209" i="1" l="1"/>
  <c r="C210" i="1"/>
  <c r="D209" i="1"/>
  <c r="B210" i="1" l="1"/>
  <c r="C211" i="1"/>
  <c r="D210" i="1"/>
  <c r="B211" i="1" l="1"/>
  <c r="D211" i="1"/>
  <c r="C212" i="1"/>
  <c r="B212" i="1" l="1"/>
  <c r="C213" i="1"/>
  <c r="D212" i="1"/>
  <c r="B213" i="1" l="1"/>
  <c r="C214" i="1"/>
  <c r="D213" i="1"/>
  <c r="D214" i="1" l="1"/>
  <c r="B214" i="1"/>
  <c r="C215" i="1"/>
  <c r="D215" i="1" l="1"/>
  <c r="D216" i="1" s="1"/>
  <c r="B215" i="1"/>
  <c r="D217" i="1" l="1"/>
  <c r="C216" i="1"/>
  <c r="B216" i="1" s="1"/>
  <c r="D218" i="1" l="1"/>
  <c r="C217" i="1"/>
  <c r="B217" i="1" s="1"/>
  <c r="D219" i="1" l="1"/>
  <c r="C218" i="1"/>
  <c r="B218" i="1" s="1"/>
  <c r="D220" i="1" l="1"/>
  <c r="C219" i="1"/>
  <c r="B219" i="1" s="1"/>
  <c r="D221" i="1" l="1"/>
  <c r="C220" i="1"/>
  <c r="B220" i="1" s="1"/>
  <c r="C221" i="1" l="1"/>
  <c r="B221" i="1" s="1"/>
  <c r="D222" i="1"/>
  <c r="D223" i="1" l="1"/>
  <c r="C222" i="1"/>
  <c r="B222" i="1" s="1"/>
  <c r="D224" i="1" l="1"/>
  <c r="C223" i="1"/>
  <c r="B223" i="1" s="1"/>
  <c r="C224" i="1" l="1"/>
  <c r="B224" i="1" s="1"/>
  <c r="D225" i="1"/>
  <c r="C225" i="1" l="1"/>
  <c r="B225" i="1" s="1"/>
  <c r="D226" i="1"/>
  <c r="C226" i="1" l="1"/>
  <c r="B226" i="1" s="1"/>
  <c r="D227" i="1"/>
  <c r="D228" i="1" l="1"/>
  <c r="C227" i="1"/>
  <c r="B227" i="1" s="1"/>
  <c r="D229" i="1" l="1"/>
  <c r="C228" i="1"/>
  <c r="B228" i="1" s="1"/>
  <c r="D230" i="1" l="1"/>
  <c r="C229" i="1"/>
  <c r="B229" i="1" s="1"/>
  <c r="D231" i="1" l="1"/>
  <c r="C230" i="1"/>
  <c r="B230" i="1" s="1"/>
  <c r="D232" i="1" l="1"/>
  <c r="C231" i="1"/>
  <c r="B231" i="1" s="1"/>
  <c r="D233" i="1" l="1"/>
  <c r="C232" i="1"/>
  <c r="B232" i="1" s="1"/>
  <c r="D234" i="1" l="1"/>
  <c r="C233" i="1"/>
  <c r="B233" i="1" s="1"/>
  <c r="D235" i="1" l="1"/>
  <c r="C234" i="1"/>
  <c r="B234" i="1" s="1"/>
  <c r="D236" i="1" l="1"/>
  <c r="C235" i="1"/>
  <c r="B235" i="1" s="1"/>
  <c r="C236" i="1" l="1"/>
  <c r="B236" i="1" s="1"/>
  <c r="D237" i="1"/>
  <c r="C237" i="1" l="1"/>
  <c r="B237" i="1" s="1"/>
  <c r="D238" i="1"/>
  <c r="C238" i="1" s="1"/>
  <c r="B238" i="1" s="1"/>
  <c r="H155" i="1"/>
  <c r="G155" i="1"/>
  <c r="E155" i="1" s="1"/>
  <c r="I156" i="1" l="1"/>
  <c r="J156" i="1" s="1"/>
  <c r="G156" i="1" s="1"/>
  <c r="E156" i="1" s="1"/>
  <c r="F155" i="1"/>
  <c r="I157" i="1" l="1"/>
  <c r="J157" i="1" s="1"/>
  <c r="G157" i="1" s="1"/>
  <c r="E157" i="1" s="1"/>
  <c r="H156" i="1"/>
  <c r="F156" i="1"/>
  <c r="H157" i="1" l="1"/>
  <c r="F157" i="1"/>
  <c r="I158" i="1"/>
  <c r="J158" i="1" s="1"/>
  <c r="G158" i="1" l="1"/>
  <c r="E158" i="1" s="1"/>
  <c r="H158" i="1"/>
  <c r="F158" i="1" l="1"/>
  <c r="I159" i="1"/>
  <c r="J159" i="1" s="1"/>
  <c r="H159" i="1" l="1"/>
  <c r="G159" i="1"/>
  <c r="E159" i="1" s="1"/>
  <c r="F159" i="1" l="1"/>
  <c r="I160" i="1"/>
  <c r="J160" i="1" s="1"/>
  <c r="H160" i="1" l="1"/>
  <c r="G160" i="1"/>
  <c r="E160" i="1" s="1"/>
  <c r="F160" i="1" l="1"/>
  <c r="I161" i="1"/>
  <c r="J161" i="1" s="1"/>
  <c r="H161" i="1" l="1"/>
  <c r="G161" i="1"/>
  <c r="E161" i="1" s="1"/>
  <c r="F161" i="1" l="1"/>
  <c r="I162" i="1"/>
  <c r="J162" i="1" s="1"/>
  <c r="H162" i="1" l="1"/>
  <c r="G162" i="1"/>
  <c r="E162" i="1" s="1"/>
  <c r="F162" i="1" l="1"/>
  <c r="I163" i="1"/>
  <c r="J163" i="1" s="1"/>
  <c r="H163" i="1" l="1"/>
  <c r="G163" i="1"/>
  <c r="E163" i="1" s="1"/>
  <c r="F163" i="1" l="1"/>
  <c r="I164" i="1"/>
  <c r="J164" i="1" s="1"/>
  <c r="H164" i="1" l="1"/>
  <c r="G164" i="1"/>
  <c r="E164" i="1" s="1"/>
  <c r="F164" i="1" l="1"/>
  <c r="I165" i="1"/>
  <c r="J165" i="1" s="1"/>
  <c r="H165" i="1" l="1"/>
  <c r="G165" i="1"/>
  <c r="E165" i="1" s="1"/>
  <c r="F165" i="1" l="1"/>
  <c r="I166" i="1"/>
  <c r="J166" i="1" s="1"/>
  <c r="H166" i="1" l="1"/>
  <c r="G166" i="1"/>
  <c r="E166" i="1" s="1"/>
  <c r="F166" i="1" l="1"/>
  <c r="I167" i="1"/>
  <c r="J167" i="1" s="1"/>
  <c r="H167" i="1" l="1"/>
  <c r="G167" i="1"/>
  <c r="E167" i="1" s="1"/>
  <c r="F167" i="1" l="1"/>
  <c r="I168" i="1"/>
  <c r="J168" i="1" s="1"/>
  <c r="H168" i="1" l="1"/>
  <c r="G168" i="1"/>
  <c r="E168" i="1" s="1"/>
  <c r="F168" i="1" l="1"/>
  <c r="I169" i="1"/>
  <c r="J169" i="1" s="1"/>
  <c r="H169" i="1" l="1"/>
  <c r="G169" i="1"/>
  <c r="E169" i="1" s="1"/>
  <c r="I170" i="1" s="1"/>
  <c r="J170" i="1" s="1"/>
  <c r="F169" i="1" l="1"/>
  <c r="H170" i="1"/>
  <c r="G170" i="1"/>
  <c r="E170" i="1" s="1"/>
  <c r="F170" i="1" l="1"/>
  <c r="I171" i="1"/>
  <c r="J171" i="1" s="1"/>
  <c r="H171" i="1" l="1"/>
  <c r="G171" i="1"/>
  <c r="E171" i="1" s="1"/>
  <c r="F171" i="1" l="1"/>
  <c r="I172" i="1"/>
  <c r="J172" i="1" s="1"/>
  <c r="G172" i="1" l="1"/>
  <c r="E172" i="1" s="1"/>
  <c r="H172" i="1"/>
  <c r="F172" i="1" l="1"/>
  <c r="I173" i="1"/>
  <c r="J173" i="1" s="1"/>
  <c r="H173" i="1" l="1"/>
  <c r="G173" i="1"/>
  <c r="E173" i="1" s="1"/>
  <c r="F173" i="1" l="1"/>
  <c r="I174" i="1"/>
  <c r="J174" i="1" s="1"/>
  <c r="G174" i="1" l="1"/>
  <c r="E174" i="1" s="1"/>
  <c r="H174" i="1"/>
  <c r="F174" i="1" l="1"/>
  <c r="I175" i="1"/>
  <c r="J175" i="1" s="1"/>
  <c r="G175" i="1" l="1"/>
  <c r="E175" i="1" s="1"/>
  <c r="H175" i="1"/>
  <c r="F175" i="1" l="1"/>
  <c r="I176" i="1"/>
  <c r="J176" i="1" s="1"/>
  <c r="H176" i="1" l="1"/>
  <c r="G176" i="1"/>
  <c r="E176" i="1" s="1"/>
  <c r="F176" i="1" l="1"/>
  <c r="I177" i="1"/>
  <c r="J177" i="1" s="1"/>
  <c r="H177" i="1" l="1"/>
  <c r="G177" i="1"/>
  <c r="E177" i="1" s="1"/>
  <c r="F177" i="1" l="1"/>
  <c r="I178" i="1"/>
  <c r="J178" i="1" s="1"/>
  <c r="H178" i="1" l="1"/>
  <c r="G178" i="1"/>
  <c r="E178" i="1" s="1"/>
  <c r="F178" i="1" l="1"/>
  <c r="I179" i="1"/>
  <c r="J179" i="1" s="1"/>
  <c r="G179" i="1" l="1"/>
  <c r="E179" i="1" s="1"/>
  <c r="H179" i="1"/>
  <c r="F179" i="1" l="1"/>
  <c r="I180" i="1"/>
  <c r="J180" i="1" s="1"/>
  <c r="G180" i="1" l="1"/>
  <c r="E180" i="1" s="1"/>
  <c r="H180" i="1"/>
  <c r="F180" i="1" l="1"/>
  <c r="I181" i="1"/>
  <c r="J181" i="1" s="1"/>
  <c r="H181" i="1" l="1"/>
  <c r="G181" i="1"/>
  <c r="E181" i="1" s="1"/>
  <c r="F181" i="1" l="1"/>
  <c r="I182" i="1"/>
  <c r="J182" i="1" s="1"/>
  <c r="H182" i="1" l="1"/>
  <c r="G182" i="1"/>
  <c r="E182" i="1" s="1"/>
  <c r="F182" i="1" l="1"/>
  <c r="I183" i="1"/>
  <c r="J183" i="1" s="1"/>
  <c r="H183" i="1" l="1"/>
  <c r="G183" i="1"/>
  <c r="E183" i="1" s="1"/>
  <c r="F183" i="1" l="1"/>
  <c r="I184" i="1"/>
  <c r="J184" i="1" s="1"/>
  <c r="H184" i="1" l="1"/>
  <c r="G184" i="1"/>
  <c r="E184" i="1" s="1"/>
  <c r="F184" i="1" l="1"/>
  <c r="I185" i="1"/>
  <c r="J185" i="1" s="1"/>
  <c r="G185" i="1" l="1"/>
  <c r="E185" i="1" s="1"/>
  <c r="H185" i="1"/>
  <c r="F185" i="1" l="1"/>
  <c r="I186" i="1"/>
  <c r="J186" i="1" s="1"/>
  <c r="H186" i="1" l="1"/>
  <c r="G186" i="1"/>
  <c r="E186" i="1" s="1"/>
  <c r="F186" i="1" l="1"/>
  <c r="I187" i="1"/>
  <c r="J187" i="1" s="1"/>
  <c r="H187" i="1" l="1"/>
  <c r="G187" i="1"/>
  <c r="E187" i="1" s="1"/>
  <c r="F187" i="1" l="1"/>
  <c r="I188" i="1"/>
  <c r="J188" i="1" s="1"/>
  <c r="H188" i="1" l="1"/>
  <c r="G188" i="1"/>
  <c r="E188" i="1" s="1"/>
  <c r="F188" i="1" l="1"/>
  <c r="I189" i="1"/>
  <c r="J189" i="1" s="1"/>
  <c r="G189" i="1" l="1"/>
  <c r="E189" i="1" s="1"/>
  <c r="H189" i="1"/>
  <c r="F189" i="1" l="1"/>
  <c r="I190" i="1"/>
  <c r="J190" i="1" s="1"/>
  <c r="H190" i="1" l="1"/>
  <c r="G190" i="1"/>
  <c r="E190" i="1" s="1"/>
  <c r="F190" i="1" l="1"/>
  <c r="I191" i="1"/>
  <c r="J191" i="1" s="1"/>
  <c r="H191" i="1" l="1"/>
  <c r="G191" i="1"/>
  <c r="E191" i="1" s="1"/>
  <c r="F191" i="1" l="1"/>
  <c r="I192" i="1"/>
  <c r="J192" i="1" s="1"/>
  <c r="G192" i="1" l="1"/>
  <c r="E192" i="1" s="1"/>
  <c r="H192" i="1"/>
  <c r="F192" i="1" l="1"/>
  <c r="I193" i="1"/>
  <c r="J193" i="1" s="1"/>
  <c r="H193" i="1" l="1"/>
  <c r="G193" i="1"/>
  <c r="E193" i="1" s="1"/>
  <c r="F193" i="1" l="1"/>
  <c r="I194" i="1"/>
  <c r="J194" i="1" s="1"/>
  <c r="H194" i="1" l="1"/>
  <c r="G194" i="1"/>
  <c r="E194" i="1" s="1"/>
  <c r="F194" i="1" l="1"/>
  <c r="I195" i="1"/>
  <c r="J195" i="1" s="1"/>
  <c r="H195" i="1" l="1"/>
  <c r="G195" i="1"/>
  <c r="E195" i="1" s="1"/>
  <c r="F195" i="1" l="1"/>
  <c r="I196" i="1"/>
  <c r="J196" i="1" s="1"/>
  <c r="H196" i="1" l="1"/>
  <c r="G196" i="1"/>
  <c r="E196" i="1" s="1"/>
  <c r="F196" i="1" l="1"/>
  <c r="I197" i="1"/>
  <c r="J197" i="1" s="1"/>
  <c r="H197" i="1" l="1"/>
  <c r="G197" i="1"/>
  <c r="E197" i="1" s="1"/>
  <c r="F197" i="1" l="1"/>
  <c r="I198" i="1"/>
  <c r="J198" i="1" s="1"/>
  <c r="H198" i="1" l="1"/>
  <c r="G198" i="1"/>
  <c r="E198" i="1" s="1"/>
  <c r="F198" i="1" l="1"/>
  <c r="I199" i="1"/>
  <c r="J199" i="1" s="1"/>
  <c r="H199" i="1" l="1"/>
  <c r="G199" i="1"/>
  <c r="E199" i="1" s="1"/>
  <c r="F199" i="1" l="1"/>
  <c r="I200" i="1"/>
  <c r="J200" i="1" s="1"/>
  <c r="H200" i="1" l="1"/>
  <c r="G200" i="1"/>
  <c r="E200" i="1" s="1"/>
  <c r="I201" i="1" s="1"/>
  <c r="J201" i="1" s="1"/>
  <c r="H201" i="1" l="1"/>
  <c r="G201" i="1"/>
  <c r="E201" i="1" s="1"/>
  <c r="F200" i="1"/>
  <c r="F201" i="1" l="1"/>
  <c r="I202" i="1"/>
  <c r="J202" i="1" s="1"/>
  <c r="G202" i="1" l="1"/>
  <c r="E202" i="1" s="1"/>
  <c r="H202" i="1"/>
  <c r="F202" i="1" l="1"/>
  <c r="I203" i="1"/>
  <c r="J203" i="1" s="1"/>
  <c r="H203" i="1" l="1"/>
  <c r="G203" i="1"/>
  <c r="E203" i="1" s="1"/>
  <c r="I204" i="1" s="1"/>
  <c r="J204" i="1" s="1"/>
  <c r="H204" i="1" l="1"/>
  <c r="G204" i="1"/>
  <c r="E204" i="1" s="1"/>
  <c r="F203" i="1"/>
  <c r="F204" i="1" l="1"/>
  <c r="I205" i="1"/>
  <c r="J205" i="1" s="1"/>
  <c r="H205" i="1" l="1"/>
  <c r="G205" i="1"/>
  <c r="E205" i="1" s="1"/>
  <c r="I206" i="1" s="1"/>
  <c r="J206" i="1" s="1"/>
  <c r="G206" i="1" l="1"/>
  <c r="E206" i="1" s="1"/>
  <c r="H206" i="1"/>
  <c r="F205" i="1"/>
  <c r="F206" i="1" l="1"/>
  <c r="I207" i="1"/>
  <c r="J207" i="1" s="1"/>
  <c r="H207" i="1" l="1"/>
  <c r="G207" i="1"/>
  <c r="E207" i="1" s="1"/>
  <c r="I208" i="1" s="1"/>
  <c r="J208" i="1" s="1"/>
  <c r="H208" i="1" l="1"/>
  <c r="G208" i="1"/>
  <c r="E208" i="1" s="1"/>
  <c r="F207" i="1"/>
  <c r="F208" i="1" l="1"/>
  <c r="I209" i="1"/>
  <c r="J209" i="1" s="1"/>
  <c r="H209" i="1" l="1"/>
  <c r="G209" i="1"/>
  <c r="E209" i="1" s="1"/>
  <c r="I210" i="1" s="1"/>
  <c r="J210" i="1" s="1"/>
  <c r="H210" i="1" l="1"/>
  <c r="G210" i="1"/>
  <c r="E210" i="1" s="1"/>
  <c r="F209" i="1"/>
  <c r="F210" i="1" l="1"/>
  <c r="I211" i="1"/>
  <c r="J211" i="1" s="1"/>
  <c r="H211" i="1" l="1"/>
  <c r="G211" i="1"/>
  <c r="E211" i="1" s="1"/>
  <c r="I212" i="1" s="1"/>
  <c r="J212" i="1" s="1"/>
  <c r="H212" i="1" l="1"/>
  <c r="G212" i="1"/>
  <c r="E212" i="1" s="1"/>
  <c r="F211" i="1"/>
  <c r="F212" i="1" l="1"/>
  <c r="I213" i="1"/>
  <c r="J213" i="1" s="1"/>
  <c r="H213" i="1" l="1"/>
  <c r="G213" i="1"/>
  <c r="E213" i="1" s="1"/>
  <c r="I214" i="1" s="1"/>
  <c r="J214" i="1" s="1"/>
  <c r="H214" i="1" l="1"/>
  <c r="G214" i="1"/>
  <c r="E214" i="1" s="1"/>
  <c r="F213" i="1"/>
  <c r="F214" i="1" l="1"/>
  <c r="I215" i="1"/>
  <c r="J215" i="1" s="1"/>
  <c r="H215" i="1" l="1"/>
  <c r="G215" i="1"/>
  <c r="E215" i="1" s="1"/>
  <c r="I216" i="1" s="1"/>
  <c r="J216" i="1" s="1"/>
  <c r="H216" i="1" l="1"/>
  <c r="G216" i="1"/>
  <c r="E216" i="1" s="1"/>
  <c r="F215" i="1"/>
  <c r="F216" i="1" l="1"/>
  <c r="I217" i="1"/>
  <c r="J217" i="1" s="1"/>
  <c r="H217" i="1" l="1"/>
  <c r="G217" i="1"/>
  <c r="E217" i="1" s="1"/>
  <c r="I218" i="1" s="1"/>
  <c r="J218" i="1" s="1"/>
  <c r="H218" i="1" l="1"/>
  <c r="G218" i="1"/>
  <c r="E218" i="1" s="1"/>
  <c r="F217" i="1"/>
  <c r="F218" i="1" l="1"/>
  <c r="I219" i="1"/>
  <c r="J219" i="1" s="1"/>
  <c r="H219" i="1" l="1"/>
  <c r="G219" i="1"/>
  <c r="E219" i="1" s="1"/>
  <c r="I220" i="1" s="1"/>
  <c r="J220" i="1" s="1"/>
  <c r="H220" i="1" l="1"/>
  <c r="G220" i="1"/>
  <c r="E220" i="1" s="1"/>
  <c r="F219" i="1"/>
  <c r="F220" i="1" l="1"/>
  <c r="I221" i="1"/>
  <c r="J221" i="1" s="1"/>
  <c r="H221" i="1" l="1"/>
  <c r="G221" i="1"/>
  <c r="E221" i="1" s="1"/>
  <c r="F221" i="1" l="1"/>
  <c r="I222" i="1"/>
  <c r="J222" i="1" s="1"/>
  <c r="H222" i="1" l="1"/>
  <c r="G222" i="1"/>
  <c r="E222" i="1" s="1"/>
  <c r="I223" i="1" s="1"/>
  <c r="J223" i="1" s="1"/>
  <c r="H223" i="1" l="1"/>
  <c r="G223" i="1"/>
  <c r="E223" i="1" s="1"/>
  <c r="F222" i="1"/>
  <c r="F223" i="1" l="1"/>
  <c r="I224" i="1"/>
  <c r="J224" i="1" s="1"/>
  <c r="H224" i="1" l="1"/>
  <c r="G224" i="1"/>
  <c r="E224" i="1" s="1"/>
  <c r="I225" i="1" s="1"/>
  <c r="J225" i="1" s="1"/>
  <c r="H225" i="1" l="1"/>
  <c r="G225" i="1"/>
  <c r="E225" i="1" s="1"/>
  <c r="F224" i="1"/>
  <c r="F225" i="1" l="1"/>
  <c r="I226" i="1"/>
  <c r="J226" i="1" s="1"/>
  <c r="H226" i="1" l="1"/>
  <c r="G226" i="1"/>
  <c r="E226" i="1" l="1"/>
  <c r="I227" i="1" s="1"/>
  <c r="J227" i="1" s="1"/>
  <c r="R154" i="1"/>
  <c r="F226" i="1"/>
  <c r="H227" i="1" l="1"/>
  <c r="G227" i="1"/>
  <c r="E227" i="1" s="1"/>
  <c r="I228" i="1" s="1"/>
  <c r="J228" i="1" s="1"/>
  <c r="F227" i="1" l="1"/>
  <c r="H228" i="1"/>
  <c r="G228" i="1"/>
  <c r="E228" i="1" s="1"/>
  <c r="F228" i="1" l="1"/>
  <c r="I229" i="1"/>
  <c r="J229" i="1" s="1"/>
  <c r="H229" i="1" l="1"/>
  <c r="G229" i="1"/>
  <c r="E229" i="1" s="1"/>
  <c r="F229" i="1" l="1"/>
  <c r="I230" i="1"/>
  <c r="J230" i="1" s="1"/>
  <c r="H230" i="1" l="1"/>
  <c r="G230" i="1"/>
  <c r="E230" i="1" s="1"/>
  <c r="F230" i="1" l="1"/>
  <c r="I231" i="1"/>
  <c r="J231" i="1" s="1"/>
  <c r="H231" i="1" l="1"/>
  <c r="G231" i="1"/>
  <c r="E231" i="1" s="1"/>
  <c r="F231" i="1" l="1"/>
  <c r="I232" i="1"/>
  <c r="J232" i="1" s="1"/>
  <c r="G232" i="1" l="1"/>
  <c r="E232" i="1" s="1"/>
  <c r="H232" i="1"/>
  <c r="F232" i="1" l="1"/>
  <c r="I233" i="1"/>
  <c r="J233" i="1" s="1"/>
  <c r="H233" i="1" l="1"/>
  <c r="G233" i="1"/>
  <c r="E233" i="1" s="1"/>
  <c r="F233" i="1" l="1"/>
  <c r="I234" i="1"/>
  <c r="J234" i="1" s="1"/>
  <c r="G234" i="1" l="1"/>
  <c r="E234" i="1" s="1"/>
  <c r="H234" i="1"/>
  <c r="F234" i="1" l="1"/>
  <c r="I235" i="1"/>
  <c r="J235" i="1" s="1"/>
  <c r="H235" i="1" l="1"/>
  <c r="G235" i="1"/>
  <c r="E235" i="1" s="1"/>
  <c r="F235" i="1" l="1"/>
  <c r="I236" i="1"/>
  <c r="J236" i="1" s="1"/>
  <c r="H236" i="1" l="1"/>
  <c r="G236" i="1"/>
  <c r="E236" i="1" s="1"/>
  <c r="F236" i="1" l="1"/>
  <c r="I237" i="1"/>
  <c r="J237" i="1" s="1"/>
  <c r="H237" i="1" l="1"/>
  <c r="G237" i="1"/>
  <c r="E237" i="1" s="1"/>
  <c r="F237" i="1" l="1"/>
  <c r="I238" i="1"/>
  <c r="J238" i="1" l="1"/>
  <c r="G238" i="1" s="1"/>
  <c r="E238" i="1" s="1"/>
  <c r="H238" i="1"/>
  <c r="F238" i="1" l="1"/>
</calcChain>
</file>

<file path=xl/sharedStrings.xml><?xml version="1.0" encoding="utf-8"?>
<sst xmlns="http://schemas.openxmlformats.org/spreadsheetml/2006/main" count="252" uniqueCount="169">
  <si>
    <t>Coordinates of Jerusalem</t>
  </si>
  <si>
    <t>Present</t>
  </si>
  <si>
    <t>Pre-Hezekiah</t>
  </si>
  <si>
    <t>Pre-Joshua</t>
  </si>
  <si>
    <t>Pre-pre-Joshua</t>
  </si>
  <si>
    <t>-Present North pole</t>
  </si>
  <si>
    <t>-Hudson Bay pole</t>
  </si>
  <si>
    <t>-Greenland Sea Pole</t>
  </si>
  <si>
    <t>Pre-Pre-Joshua</t>
  </si>
  <si>
    <t>-Yukon District pole</t>
  </si>
  <si>
    <t>Degrees</t>
  </si>
  <si>
    <t>Pole-shift turn</t>
  </si>
  <si>
    <t>Minutes</t>
  </si>
  <si>
    <t>Greenland</t>
  </si>
  <si>
    <t>Antarktis</t>
  </si>
  <si>
    <t>N</t>
  </si>
  <si>
    <t>E</t>
  </si>
  <si>
    <t>S</t>
  </si>
  <si>
    <t>W</t>
  </si>
  <si>
    <t>7mm x 15 mm x 5 mm</t>
  </si>
  <si>
    <t>31mm x 28 mm x -12 mm</t>
  </si>
  <si>
    <t>Distance from the pole to Jerusalem</t>
  </si>
  <si>
    <t>Paper model pull results</t>
  </si>
  <si>
    <t>?Deg?</t>
  </si>
  <si>
    <t>90 deg off</t>
  </si>
  <si>
    <t>180 deg off short distance</t>
  </si>
  <si>
    <t>0 deg off long distance</t>
  </si>
  <si>
    <t>26 deg off short distance</t>
  </si>
  <si>
    <t>154 deg off short distance</t>
  </si>
  <si>
    <t>Location of the closest pole in terms of the present North Pole</t>
  </si>
  <si>
    <t>Greenland Sea</t>
  </si>
  <si>
    <t>Yukon District</t>
  </si>
  <si>
    <t>Aug 4, 1423 BCE</t>
  </si>
  <si>
    <t>Aug 5, 1423 BCE</t>
  </si>
  <si>
    <t>Aug 3, 1423 BCE</t>
  </si>
  <si>
    <t>Sunrise: 04:58:25</t>
  </si>
  <si>
    <t>Sunrise: 06:24:28</t>
  </si>
  <si>
    <t>Sunrise: 06:24:24</t>
  </si>
  <si>
    <t>Sunrise: 02:10:50</t>
  </si>
  <si>
    <t>Sunrise: 04:06:42</t>
  </si>
  <si>
    <t>Moonrise: 18:46:12</t>
  </si>
  <si>
    <t>Moonrise: 17:15:14</t>
  </si>
  <si>
    <t>Moonset: 04:53:49</t>
  </si>
  <si>
    <t>Moonset: 06:39:32</t>
  </si>
  <si>
    <t>Sunrise: 04:05:00</t>
  </si>
  <si>
    <t>Moonset: 04:18:19</t>
  </si>
  <si>
    <t>Sunset: 18:59:54</t>
  </si>
  <si>
    <t>Sunset: 18:49:31</t>
  </si>
  <si>
    <t>Sunset: 17:49:53</t>
  </si>
  <si>
    <t>Sunset: 20:00:29</t>
  </si>
  <si>
    <t>Moonrise: 18:10:23</t>
  </si>
  <si>
    <t>Sunrise: 04:07:38</t>
  </si>
  <si>
    <t>Aug 6, 1423 BCE    Sunrise: 06:24:18   Moonset: 07:26:50</t>
  </si>
  <si>
    <t>Moonrise: 20:21:31</t>
  </si>
  <si>
    <t>Acceleration: m/sec^2</t>
  </si>
  <si>
    <t>1/2 of distance move in a pole shift: (2 x 10^7 meters / 2) x (150/180)</t>
  </si>
  <si>
    <t>meters</t>
  </si>
  <si>
    <t>seconds</t>
  </si>
  <si>
    <t>m/sec^2</t>
  </si>
  <si>
    <t>==&gt; Average acceleration:</t>
  </si>
  <si>
    <t>Relative vector sizes:</t>
  </si>
  <si>
    <t>or</t>
  </si>
  <si>
    <t>%</t>
  </si>
  <si>
    <t>Time for that motion: 24 hours</t>
  </si>
  <si>
    <t>Given that the water level diminishes as much on the front coast line as it raises on the rear coast line, the expected elevation above normal:</t>
  </si>
  <si>
    <t>1000 mil</t>
  </si>
  <si>
    <t>100 mil</t>
  </si>
  <si>
    <t>2 km</t>
  </si>
  <si>
    <t>meter</t>
  </si>
  <si>
    <t>km</t>
  </si>
  <si>
    <t>miles</t>
  </si>
  <si>
    <t>degrees</t>
  </si>
  <si>
    <t xml:space="preserve">Google Earth distance between Hudson Bay and South Pole: </t>
  </si>
  <si>
    <t>Pole shift time:</t>
  </si>
  <si>
    <t>hours</t>
  </si>
  <si>
    <t>minutes</t>
  </si>
  <si>
    <t>Average speed:</t>
  </si>
  <si>
    <t>meter/second</t>
  </si>
  <si>
    <t>miles/hour</t>
  </si>
  <si>
    <t>km/hour</t>
  </si>
  <si>
    <t>Speed at beginning and end:</t>
  </si>
  <si>
    <t>Speed:</t>
  </si>
  <si>
    <t xml:space="preserve"> =A*(sin(x)-sin(pi()/12)) </t>
  </si>
  <si>
    <t>x:</t>
  </si>
  <si>
    <t>A:</t>
  </si>
  <si>
    <t xml:space="preserve">=(sin(x)-sin(pi()/12)) </t>
  </si>
  <si>
    <t>Maxima at beginning and end &amp; proportionate to latitude of the location of the prior pole</t>
  </si>
  <si>
    <t>Acceleration</t>
  </si>
  <si>
    <t>=sin(PI()*(1/12))</t>
  </si>
  <si>
    <t>v=speed (km/hr)</t>
  </si>
  <si>
    <t>Travel time (hrs)</t>
  </si>
  <si>
    <t>=sin(x)</t>
  </si>
  <si>
    <t>(m/s)</t>
  </si>
  <si>
    <t>time (sec)</t>
  </si>
  <si>
    <t>time (min)</t>
  </si>
  <si>
    <t>time (hrs)</t>
  </si>
  <si>
    <t>Acceleration/deceleration:</t>
  </si>
  <si>
    <t>location (deg)</t>
  </si>
  <si>
    <t>location (rads)</t>
  </si>
  <si>
    <t>location (km)</t>
  </si>
  <si>
    <t>Acceleration=B*(cos(x)-cos(pi()/12))</t>
  </si>
  <si>
    <t>Acceleration:</t>
  </si>
  <si>
    <t>B:</t>
  </si>
  <si>
    <t>acceleration</t>
  </si>
  <si>
    <t>location(km)</t>
  </si>
  <si>
    <t>v=speed(m/s)</t>
  </si>
  <si>
    <t>location(m)</t>
  </si>
  <si>
    <t>v=speed(km/hr)</t>
  </si>
  <si>
    <t>location(rads)</t>
  </si>
  <si>
    <t>Check B until 0:</t>
  </si>
  <si>
    <t>Acc at 12 hrs:</t>
  </si>
  <si>
    <t>=B*cos(x)</t>
  </si>
  <si>
    <t>Travel (km)</t>
  </si>
  <si>
    <t>Travel (m)</t>
  </si>
  <si>
    <t>Good data - replacing unsuccessful attempts above…:</t>
  </si>
  <si>
    <t>Acceleration / G-force</t>
  </si>
  <si>
    <t>BAD DATA!!! - Cf. diagram to the right!&gt;</t>
  </si>
  <si>
    <t>Initial maximum acceleration (m/sec^2):</t>
  </si>
  <si>
    <t>The acceleration of gravity (m/sec^2):</t>
  </si>
  <si>
    <t>RED = NO GOOD DATA!!! See valid replacement below in green!</t>
  </si>
  <si>
    <t>Google measurements between poles of pole shifts:</t>
  </si>
  <si>
    <t>Yukon to Greenland Sea:</t>
  </si>
  <si>
    <t>Map distance:</t>
  </si>
  <si>
    <t>Ground distance:</t>
  </si>
  <si>
    <t>Heading:</t>
  </si>
  <si>
    <t>Mid point of travel:</t>
  </si>
  <si>
    <t>4 32 30 N  149 00 00 W</t>
  </si>
  <si>
    <t xml:space="preserve">Pacific hub at: </t>
  </si>
  <si>
    <t>7 41 N  122 E</t>
  </si>
  <si>
    <t>Western hub at:</t>
  </si>
  <si>
    <t>4 54 S  58 09 W</t>
  </si>
  <si>
    <t>Greenland Sea to Hudson Bay:</t>
  </si>
  <si>
    <t>Half distance:</t>
  </si>
  <si>
    <t>8 14 N   66 40 E</t>
  </si>
  <si>
    <t>16 16 N  158 57 E</t>
  </si>
  <si>
    <t>17 5 S  21 09 W</t>
  </si>
  <si>
    <t>Hudson Bay to Present South Pole:</t>
  </si>
  <si>
    <t>14 50 S   84 09 W</t>
  </si>
  <si>
    <t>0 11 S   5 57 E</t>
  </si>
  <si>
    <t xml:space="preserve">Atlantic hub at: </t>
  </si>
  <si>
    <t>1 50 S  174 36 W</t>
  </si>
  <si>
    <t>Based upon the pattern above</t>
  </si>
  <si>
    <t>Based upon my prior estimate:</t>
  </si>
  <si>
    <t>Present North Pole to 60 S 60 E:</t>
  </si>
  <si>
    <t>15 20 N  59 44 E</t>
  </si>
  <si>
    <t>00 03 N  150 E</t>
  </si>
  <si>
    <t>02 43 N  30 10 W</t>
  </si>
  <si>
    <t>40 31 S  145 41 W</t>
  </si>
  <si>
    <t>08 22 S  48 22 W</t>
  </si>
  <si>
    <t xml:space="preserve">S American hub at: </t>
  </si>
  <si>
    <t>09 38 N  132 19 E</t>
  </si>
  <si>
    <t>Far East hub at:</t>
  </si>
  <si>
    <t>Atlantic hub at:</t>
  </si>
  <si>
    <t>60 S  60 E to Pacific</t>
  </si>
  <si>
    <t>Present North Pole to 60 S 86 E:</t>
  </si>
  <si>
    <t>60 S  86 E to Texas</t>
  </si>
  <si>
    <t>15 05 N  88 33 E</t>
  </si>
  <si>
    <t>00 26 S  01 33 W</t>
  </si>
  <si>
    <t>#5b</t>
  </si>
  <si>
    <t>#5a</t>
  </si>
  <si>
    <t>#4b</t>
  </si>
  <si>
    <t>#4a</t>
  </si>
  <si>
    <t>#3</t>
  </si>
  <si>
    <t>#2</t>
  </si>
  <si>
    <t>#1</t>
  </si>
  <si>
    <t>00 36 N  179 10 E</t>
  </si>
  <si>
    <t>01 45 S  00 49 W</t>
  </si>
  <si>
    <t>Pacific hub at:</t>
  </si>
  <si>
    <t>00 55 S  178 42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</si>
</sst>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00"/>
    <numFmt numFmtId="165" formatCode="0.000"/>
    <numFmt numFmtId="166" formatCode="0.0"/>
    <numFmt numFmtId="167" formatCode="0.0000000000000000"/>
    <numFmt numFmtId="168" formatCode="0.00000"/>
    <numFmt numFmtId="169" formatCode="0.0000"/>
    <numFmt numFmtId="170" formatCode="0.00000000"/>
    <numFmt numFmtId="171" formatCode="0.000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65" fontId="0" fillId="0" borderId="0" xfId="0" quotePrefix="1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8" fontId="1" fillId="0" borderId="0" xfId="0" applyNumberFormat="1" applyFont="1"/>
    <xf numFmtId="0" fontId="2" fillId="2" borderId="0" xfId="0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169" fontId="0" fillId="0" borderId="0" xfId="0" applyNumberFormat="1" applyAlignment="1">
      <alignment horizontal="right"/>
    </xf>
    <xf numFmtId="168" fontId="2" fillId="2" borderId="0" xfId="0" applyNumberFormat="1" applyFont="1" applyFill="1"/>
    <xf numFmtId="1" fontId="0" fillId="0" borderId="0" xfId="0" applyNumberFormat="1" applyAlignment="1">
      <alignment horizontal="right"/>
    </xf>
    <xf numFmtId="0" fontId="3" fillId="2" borderId="0" xfId="0" quotePrefix="1" applyFont="1" applyFill="1"/>
    <xf numFmtId="0" fontId="0" fillId="4" borderId="0" xfId="0" applyFill="1" applyAlignment="1">
      <alignment horizontal="center"/>
    </xf>
    <xf numFmtId="169" fontId="0" fillId="4" borderId="0" xfId="0" applyNumberFormat="1" applyFill="1"/>
    <xf numFmtId="165" fontId="0" fillId="4" borderId="0" xfId="0" applyNumberFormat="1" applyFill="1"/>
    <xf numFmtId="168" fontId="0" fillId="4" borderId="0" xfId="0" applyNumberFormat="1" applyFill="1"/>
    <xf numFmtId="164" fontId="0" fillId="4" borderId="0" xfId="0" applyNumberFormat="1" applyFill="1"/>
    <xf numFmtId="0" fontId="4" fillId="4" borderId="0" xfId="0" applyFont="1" applyFill="1"/>
    <xf numFmtId="171" fontId="0" fillId="0" borderId="0" xfId="0" applyNumberFormat="1"/>
    <xf numFmtId="0" fontId="0" fillId="0" borderId="0" xfId="0" applyFill="1"/>
    <xf numFmtId="0" fontId="0" fillId="5" borderId="0" xfId="0" applyFill="1"/>
    <xf numFmtId="165" fontId="0" fillId="0" borderId="0" xfId="0" applyNumberFormat="1" applyFill="1"/>
    <xf numFmtId="0" fontId="5" fillId="5" borderId="0" xfId="0" applyFont="1" applyFill="1"/>
    <xf numFmtId="166" fontId="2" fillId="5" borderId="0" xfId="0" applyNumberFormat="1" applyFont="1" applyFill="1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Fill="1" applyBorder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Distance Traveled During Pole Shift (km/hr vs km from original location)</c:v>
          </c:tx>
          <c:marker>
            <c:symbol val="none"/>
          </c:marker>
          <c:xVal>
            <c:numRef>
              <c:f>Sheet1!$L$84:$L$114</c:f>
              <c:numCache>
                <c:formatCode>0</c:formatCode>
                <c:ptCount val="31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  <c:pt idx="4">
                  <c:v>2226.3419938439661</c:v>
                </c:pt>
                <c:pt idx="5">
                  <c:v>2782.9274923049575</c:v>
                </c:pt>
                <c:pt idx="6">
                  <c:v>3339.5129907659489</c:v>
                </c:pt>
                <c:pt idx="7">
                  <c:v>3896.0984892269403</c:v>
                </c:pt>
                <c:pt idx="8">
                  <c:v>4452.6839876879312</c:v>
                </c:pt>
                <c:pt idx="9">
                  <c:v>5009.2694861489235</c:v>
                </c:pt>
                <c:pt idx="10">
                  <c:v>5565.854984609914</c:v>
                </c:pt>
                <c:pt idx="11">
                  <c:v>6122.4404830709063</c:v>
                </c:pt>
                <c:pt idx="12">
                  <c:v>6679.0259815318987</c:v>
                </c:pt>
                <c:pt idx="13">
                  <c:v>7235.611479992891</c:v>
                </c:pt>
                <c:pt idx="14">
                  <c:v>7792.1969784538833</c:v>
                </c:pt>
                <c:pt idx="15">
                  <c:v>8348.7824769148756</c:v>
                </c:pt>
                <c:pt idx="16">
                  <c:v>8905.3679753758679</c:v>
                </c:pt>
                <c:pt idx="17">
                  <c:v>9461.9534738368602</c:v>
                </c:pt>
                <c:pt idx="18">
                  <c:v>10018.538972297853</c:v>
                </c:pt>
                <c:pt idx="19">
                  <c:v>10575.124470758845</c:v>
                </c:pt>
                <c:pt idx="20">
                  <c:v>11131.709969219837</c:v>
                </c:pt>
                <c:pt idx="21">
                  <c:v>11688.295467680829</c:v>
                </c:pt>
                <c:pt idx="22">
                  <c:v>12244.880966141822</c:v>
                </c:pt>
                <c:pt idx="23">
                  <c:v>12801.466464602814</c:v>
                </c:pt>
                <c:pt idx="24">
                  <c:v>13358.051963063806</c:v>
                </c:pt>
                <c:pt idx="25">
                  <c:v>13914.637461524799</c:v>
                </c:pt>
                <c:pt idx="26">
                  <c:v>14471.222959985791</c:v>
                </c:pt>
                <c:pt idx="27">
                  <c:v>15027.808458446782</c:v>
                </c:pt>
                <c:pt idx="28">
                  <c:v>15584.393956907772</c:v>
                </c:pt>
                <c:pt idx="29">
                  <c:v>16140.979455368763</c:v>
                </c:pt>
                <c:pt idx="30">
                  <c:v>16697.564953829751</c:v>
                </c:pt>
              </c:numCache>
            </c:numRef>
          </c:xVal>
          <c:yVal>
            <c:numRef>
              <c:f>Sheet1!$P$84:$P$114</c:f>
              <c:numCache>
                <c:formatCode>0</c:formatCode>
                <c:ptCount val="31"/>
                <c:pt idx="0">
                  <c:v>0</c:v>
                </c:pt>
                <c:pt idx="1">
                  <c:v>120.94111637716789</c:v>
                </c:pt>
                <c:pt idx="2">
                  <c:v>238.09854130525653</c:v>
                </c:pt>
                <c:pt idx="3">
                  <c:v>350.58063603897574</c:v>
                </c:pt>
                <c:pt idx="4">
                  <c:v>457.53134391885635</c:v>
                </c:pt>
                <c:pt idx="5">
                  <c:v>558.13670547932929</c:v>
                </c:pt>
                <c:pt idx="6">
                  <c:v>651.6310531717412</c:v>
                </c:pt>
                <c:pt idx="7">
                  <c:v>737.30283855672224</c:v>
                </c:pt>
                <c:pt idx="8">
                  <c:v>814.50004761745424</c:v>
                </c:pt>
                <c:pt idx="9">
                  <c:v>882.63516298003572</c:v>
                </c:pt>
                <c:pt idx="10">
                  <c:v>941.18963527545009</c:v>
                </c:pt>
                <c:pt idx="11">
                  <c:v>989.71782961337215</c:v>
                </c:pt>
                <c:pt idx="12">
                  <c:v>1027.8504171327654</c:v>
                </c:pt>
                <c:pt idx="13">
                  <c:v>1055.2971858175215</c:v>
                </c:pt>
                <c:pt idx="14">
                  <c:v>1071.8492491851371</c:v>
                </c:pt>
                <c:pt idx="15">
                  <c:v>1077.3806360389758</c:v>
                </c:pt>
                <c:pt idx="16">
                  <c:v>1071.8492491851371</c:v>
                </c:pt>
                <c:pt idx="17">
                  <c:v>1055.2971858175213</c:v>
                </c:pt>
                <c:pt idx="18">
                  <c:v>1027.8504171327654</c:v>
                </c:pt>
                <c:pt idx="19">
                  <c:v>989.71782961337226</c:v>
                </c:pt>
                <c:pt idx="20">
                  <c:v>941.18963527544997</c:v>
                </c:pt>
                <c:pt idx="21">
                  <c:v>882.63516298003594</c:v>
                </c:pt>
                <c:pt idx="22">
                  <c:v>814.50004761745458</c:v>
                </c:pt>
                <c:pt idx="23">
                  <c:v>737.30283855672224</c:v>
                </c:pt>
                <c:pt idx="24">
                  <c:v>651.63105317174131</c:v>
                </c:pt>
                <c:pt idx="25">
                  <c:v>558.13670547932963</c:v>
                </c:pt>
                <c:pt idx="26">
                  <c:v>457.53134391885618</c:v>
                </c:pt>
                <c:pt idx="27">
                  <c:v>350.58063603897574</c:v>
                </c:pt>
                <c:pt idx="28">
                  <c:v>238.09854130525662</c:v>
                </c:pt>
                <c:pt idx="29">
                  <c:v>120.94111637716756</c:v>
                </c:pt>
                <c:pt idx="3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51936"/>
        <c:axId val="115353472"/>
      </c:scatterChart>
      <c:valAx>
        <c:axId val="115351936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15353472"/>
        <c:crosses val="autoZero"/>
        <c:crossBetween val="midCat"/>
      </c:valAx>
      <c:valAx>
        <c:axId val="115353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5351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Acceleration as Computed from the Table to the Left (m/s.sq. vs km)</c:v>
          </c:tx>
          <c:marker>
            <c:symbol val="none"/>
          </c:marker>
          <c:xVal>
            <c:numRef>
              <c:f>Sheet1!$I$84:$I$115</c:f>
              <c:numCache>
                <c:formatCode>0</c:formatCode>
                <c:ptCount val="32"/>
                <c:pt idx="0" formatCode="0.00">
                  <c:v>1666.6666666666665</c:v>
                </c:pt>
                <c:pt idx="1">
                  <c:v>2223.2521651276584</c:v>
                </c:pt>
                <c:pt idx="2">
                  <c:v>2779.8376635886498</c:v>
                </c:pt>
                <c:pt idx="3">
                  <c:v>3336.4231620496412</c:v>
                </c:pt>
                <c:pt idx="4">
                  <c:v>3893.0086605106326</c:v>
                </c:pt>
                <c:pt idx="5">
                  <c:v>4449.594158971624</c:v>
                </c:pt>
                <c:pt idx="6">
                  <c:v>5006.1796574326154</c:v>
                </c:pt>
                <c:pt idx="7">
                  <c:v>5562.7651558936068</c:v>
                </c:pt>
                <c:pt idx="8">
                  <c:v>6119.3506543545982</c:v>
                </c:pt>
                <c:pt idx="9">
                  <c:v>6675.9361528155896</c:v>
                </c:pt>
                <c:pt idx="10">
                  <c:v>7232.521651276581</c:v>
                </c:pt>
                <c:pt idx="11">
                  <c:v>7789.1071497375724</c:v>
                </c:pt>
                <c:pt idx="12">
                  <c:v>8345.6926481985647</c:v>
                </c:pt>
                <c:pt idx="13">
                  <c:v>8902.278146659557</c:v>
                </c:pt>
                <c:pt idx="14">
                  <c:v>9458.8636451205493</c:v>
                </c:pt>
                <c:pt idx="15">
                  <c:v>10015.449143581542</c:v>
                </c:pt>
                <c:pt idx="16">
                  <c:v>10572.034642042534</c:v>
                </c:pt>
                <c:pt idx="17">
                  <c:v>11128.620140503526</c:v>
                </c:pt>
                <c:pt idx="18">
                  <c:v>11685.205638964519</c:v>
                </c:pt>
                <c:pt idx="19">
                  <c:v>12241.791137425511</c:v>
                </c:pt>
                <c:pt idx="20">
                  <c:v>12798.376635886503</c:v>
                </c:pt>
                <c:pt idx="21">
                  <c:v>13354.962134347496</c:v>
                </c:pt>
                <c:pt idx="22">
                  <c:v>13911.547632808488</c:v>
                </c:pt>
                <c:pt idx="23">
                  <c:v>14468.13313126948</c:v>
                </c:pt>
                <c:pt idx="24">
                  <c:v>15024.718629730472</c:v>
                </c:pt>
                <c:pt idx="25">
                  <c:v>15581.304128191465</c:v>
                </c:pt>
                <c:pt idx="26">
                  <c:v>16137.889626652457</c:v>
                </c:pt>
                <c:pt idx="27">
                  <c:v>16694.475125113448</c:v>
                </c:pt>
                <c:pt idx="28">
                  <c:v>17251.060623574438</c:v>
                </c:pt>
                <c:pt idx="29">
                  <c:v>17807.646122035429</c:v>
                </c:pt>
                <c:pt idx="30">
                  <c:v>18364.231620496419</c:v>
                </c:pt>
              </c:numCache>
            </c:numRef>
          </c:xVal>
          <c:yVal>
            <c:numRef>
              <c:f>Sheet1!$U$84:$U$115</c:f>
              <c:numCache>
                <c:formatCode>0.000000</c:formatCode>
                <c:ptCount val="32"/>
                <c:pt idx="1">
                  <c:v>1.8687599757689136E-3</c:v>
                </c:pt>
                <c:pt idx="2">
                  <c:v>1.6469879437091887E-2</c:v>
                </c:pt>
                <c:pt idx="3">
                  <c:v>4.4275444128134681E-2</c:v>
                </c:pt>
                <c:pt idx="4">
                  <c:v>8.3435076378410217E-2</c:v>
                </c:pt>
                <c:pt idx="5">
                  <c:v>0.13179810294280786</c:v>
                </c:pt>
                <c:pt idx="6">
                  <c:v>0.18698621459831702</c:v>
                </c:pt>
                <c:pt idx="7">
                  <c:v>0.24647264655910023</c:v>
                </c:pt>
                <c:pt idx="8">
                  <c:v>0.30766542121284274</c:v>
                </c:pt>
                <c:pt idx="9">
                  <c:v>0.36799207466257255</c:v>
                </c:pt>
                <c:pt idx="10">
                  <c:v>0.42498324726085018</c:v>
                </c:pt>
                <c:pt idx="11">
                  <c:v>0.47635255697353945</c:v>
                </c:pt>
                <c:pt idx="12">
                  <c:v>0.52007029180235487</c:v>
                </c:pt>
                <c:pt idx="13">
                  <c:v>0.55442865002831909</c:v>
                </c:pt>
                <c:pt idx="14">
                  <c:v>0.57809651882609625</c:v>
                </c:pt>
                <c:pt idx="15">
                  <c:v>0.5901621048498743</c:v>
                </c:pt>
                <c:pt idx="16">
                  <c:v>0.5901621048498743</c:v>
                </c:pt>
                <c:pt idx="17">
                  <c:v>0.57809651882609625</c:v>
                </c:pt>
                <c:pt idx="18">
                  <c:v>0.55442865002831909</c:v>
                </c:pt>
                <c:pt idx="19">
                  <c:v>0.52007029180235487</c:v>
                </c:pt>
                <c:pt idx="20">
                  <c:v>0.47635255697354023</c:v>
                </c:pt>
                <c:pt idx="21">
                  <c:v>0.4249832472608509</c:v>
                </c:pt>
                <c:pt idx="22">
                  <c:v>0.36799207466257317</c:v>
                </c:pt>
                <c:pt idx="23">
                  <c:v>0.3076654212128403</c:v>
                </c:pt>
                <c:pt idx="24">
                  <c:v>0.24647264655909853</c:v>
                </c:pt>
                <c:pt idx="25">
                  <c:v>0.18698621459831735</c:v>
                </c:pt>
                <c:pt idx="26">
                  <c:v>0.13179810294280808</c:v>
                </c:pt>
                <c:pt idx="27">
                  <c:v>8.3435076378410494E-2</c:v>
                </c:pt>
                <c:pt idx="28">
                  <c:v>4.4275444128134771E-2</c:v>
                </c:pt>
                <c:pt idx="29">
                  <c:v>1.6469879437091859E-2</c:v>
                </c:pt>
                <c:pt idx="30">
                  <c:v>1.868759975768909E-3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88480"/>
        <c:axId val="148402560"/>
      </c:scatterChart>
      <c:valAx>
        <c:axId val="1483884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48402560"/>
        <c:crosses val="autoZero"/>
        <c:crossBetween val="midCat"/>
      </c:valAx>
      <c:valAx>
        <c:axId val="14840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388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Acceleration (m/s.sq.) vs Distance Traveled (km from original position)</c:v>
          </c:tx>
          <c:marker>
            <c:symbol val="none"/>
          </c:marker>
          <c:xVal>
            <c:numRef>
              <c:f>Sheet1!$K$154:$K$238</c:f>
              <c:numCache>
                <c:formatCode>0</c:formatCode>
                <c:ptCount val="85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  <c:pt idx="69">
                  <c:v>5093.7939155271015</c:v>
                </c:pt>
                <c:pt idx="70">
                  <c:v>6145.0143340604518</c:v>
                </c:pt>
                <c:pt idx="71">
                  <c:v>7232.9125629543632</c:v>
                </c:pt>
                <c:pt idx="72">
                  <c:v>8333.341742626475</c:v>
                </c:pt>
                <c:pt idx="73">
                  <c:v>9421.7282294216711</c:v>
                </c:pt>
                <c:pt idx="74">
                  <c:v>10474.378500863299</c:v>
                </c:pt>
                <c:pt idx="75">
                  <c:v>11469.622455176208</c:v>
                </c:pt>
                <c:pt idx="76">
                  <c:v>12388.627701200707</c:v>
                </c:pt>
                <c:pt idx="77">
                  <c:v>13215.812773665266</c:v>
                </c:pt>
                <c:pt idx="78">
                  <c:v>13938.882649328176</c:v>
                </c:pt>
                <c:pt idx="79">
                  <c:v>14548.576932000822</c:v>
                </c:pt>
                <c:pt idx="80">
                  <c:v>15038.248844135966</c:v>
                </c:pt>
                <c:pt idx="81">
                  <c:v>15403.388372489359</c:v>
                </c:pt>
                <c:pt idx="82">
                  <c:v>15641.179898415647</c:v>
                </c:pt>
                <c:pt idx="83">
                  <c:v>15750.156576119762</c:v>
                </c:pt>
                <c:pt idx="84">
                  <c:v>15729.988496562541</c:v>
                </c:pt>
              </c:numCache>
            </c:numRef>
          </c:xVal>
          <c:yVal>
            <c:numRef>
              <c:f>Sheet1!$G$154:$G$238</c:f>
              <c:numCache>
                <c:formatCode>General</c:formatCode>
                <c:ptCount val="85"/>
                <c:pt idx="0">
                  <c:v>1.0436828553053383E-2</c:v>
                </c:pt>
                <c:pt idx="1">
                  <c:v>1.0436828550761041E-2</c:v>
                </c:pt>
                <c:pt idx="2">
                  <c:v>1.0436828543884015E-2</c:v>
                </c:pt>
                <c:pt idx="3">
                  <c:v>1.0436828532422303E-2</c:v>
                </c:pt>
                <c:pt idx="4">
                  <c:v>1.0436828516375908E-2</c:v>
                </c:pt>
                <c:pt idx="5">
                  <c:v>1.0436828495744828E-2</c:v>
                </c:pt>
                <c:pt idx="6">
                  <c:v>1.0436828470529062E-2</c:v>
                </c:pt>
                <c:pt idx="7">
                  <c:v>1.0436828440728612E-2</c:v>
                </c:pt>
                <c:pt idx="8">
                  <c:v>1.0436828406343475E-2</c:v>
                </c:pt>
                <c:pt idx="9">
                  <c:v>1.0436828367373649E-2</c:v>
                </c:pt>
                <c:pt idx="10">
                  <c:v>1.0436828323819139E-2</c:v>
                </c:pt>
                <c:pt idx="11">
                  <c:v>1.0436828275679938E-2</c:v>
                </c:pt>
                <c:pt idx="12">
                  <c:v>1.0436828222956048E-2</c:v>
                </c:pt>
                <c:pt idx="13">
                  <c:v>1.043682816564747E-2</c:v>
                </c:pt>
                <c:pt idx="14">
                  <c:v>1.0436828103754198E-2</c:v>
                </c:pt>
                <c:pt idx="15">
                  <c:v>1.0436828037276236E-2</c:v>
                </c:pt>
                <c:pt idx="16">
                  <c:v>1.0436827966213579E-2</c:v>
                </c:pt>
                <c:pt idx="17">
                  <c:v>1.0436827890566229E-2</c:v>
                </c:pt>
                <c:pt idx="18">
                  <c:v>1.0436827810334181E-2</c:v>
                </c:pt>
                <c:pt idx="19">
                  <c:v>1.0436827725517437E-2</c:v>
                </c:pt>
                <c:pt idx="20">
                  <c:v>1.0436827636115992E-2</c:v>
                </c:pt>
                <c:pt idx="21">
                  <c:v>1.0436827542129849E-2</c:v>
                </c:pt>
                <c:pt idx="22">
                  <c:v>1.0436827443559001E-2</c:v>
                </c:pt>
                <c:pt idx="23">
                  <c:v>1.0436827340403451E-2</c:v>
                </c:pt>
                <c:pt idx="24">
                  <c:v>1.0436827232663195E-2</c:v>
                </c:pt>
                <c:pt idx="25">
                  <c:v>1.043682712033823E-2</c:v>
                </c:pt>
                <c:pt idx="26">
                  <c:v>1.0436827003428555E-2</c:v>
                </c:pt>
                <c:pt idx="27">
                  <c:v>1.043682688193417E-2</c:v>
                </c:pt>
                <c:pt idx="28">
                  <c:v>1.0436826755855069E-2</c:v>
                </c:pt>
                <c:pt idx="29">
                  <c:v>1.0436826625191253E-2</c:v>
                </c:pt>
                <c:pt idx="30">
                  <c:v>1.0436826489942716E-2</c:v>
                </c:pt>
                <c:pt idx="31">
                  <c:v>1.043682030057711E-2</c:v>
                </c:pt>
                <c:pt idx="32">
                  <c:v>1.0436795542614305E-2</c:v>
                </c:pt>
                <c:pt idx="33">
                  <c:v>1.0436754277587987E-2</c:v>
                </c:pt>
                <c:pt idx="34">
                  <c:v>1.0436696502849977E-2</c:v>
                </c:pt>
                <c:pt idx="35">
                  <c:v>1.0436622214687693E-2</c:v>
                </c:pt>
                <c:pt idx="36">
                  <c:v>1.0436531408324189E-2</c:v>
                </c:pt>
                <c:pt idx="37">
                  <c:v>1.0436424077918276E-2</c:v>
                </c:pt>
                <c:pt idx="38">
                  <c:v>1.0436300216564607E-2</c:v>
                </c:pt>
                <c:pt idx="39">
                  <c:v>1.0436159816293812E-2</c:v>
                </c:pt>
                <c:pt idx="40">
                  <c:v>1.0436002868072648E-2</c:v>
                </c:pt>
                <c:pt idx="41">
                  <c:v>1.0435829361804155E-2</c:v>
                </c:pt>
                <c:pt idx="42">
                  <c:v>1.0435639286327847E-2</c:v>
                </c:pt>
                <c:pt idx="43">
                  <c:v>1.043543262941991E-2</c:v>
                </c:pt>
                <c:pt idx="44">
                  <c:v>1.0435209377793428E-2</c:v>
                </c:pt>
                <c:pt idx="45">
                  <c:v>1.043496951709862E-2</c:v>
                </c:pt>
                <c:pt idx="46">
                  <c:v>1.0434713031923105E-2</c:v>
                </c:pt>
                <c:pt idx="47">
                  <c:v>1.0434439905792178E-2</c:v>
                </c:pt>
                <c:pt idx="48">
                  <c:v>1.0434150121169107E-2</c:v>
                </c:pt>
                <c:pt idx="49">
                  <c:v>1.0433843659455455E-2</c:v>
                </c:pt>
                <c:pt idx="50">
                  <c:v>1.0433520500991413E-2</c:v>
                </c:pt>
                <c:pt idx="51">
                  <c:v>1.0433180625056158E-2</c:v>
                </c:pt>
                <c:pt idx="52">
                  <c:v>1.0432824009868233E-2</c:v>
                </c:pt>
                <c:pt idx="53">
                  <c:v>1.0432450632585929E-2</c:v>
                </c:pt>
                <c:pt idx="54">
                  <c:v>1.0432060469307714E-2</c:v>
                </c:pt>
                <c:pt idx="55">
                  <c:v>1.0431653495072657E-2</c:v>
                </c:pt>
                <c:pt idx="56">
                  <c:v>1.0431229683860887E-2</c:v>
                </c:pt>
                <c:pt idx="57">
                  <c:v>1.0430789008594061E-2</c:v>
                </c:pt>
                <c:pt idx="58">
                  <c:v>1.0430331441135858E-2</c:v>
                </c:pt>
                <c:pt idx="59">
                  <c:v>1.0429856952292496E-2</c:v>
                </c:pt>
                <c:pt idx="60">
                  <c:v>1.0429365511813254E-2</c:v>
                </c:pt>
                <c:pt idx="61">
                  <c:v>1.0406541786599758E-2</c:v>
                </c:pt>
                <c:pt idx="62">
                  <c:v>1.0308827506759575E-2</c:v>
                </c:pt>
                <c:pt idx="63" formatCode="0.00000">
                  <c:v>1.0124049199596957E-2</c:v>
                </c:pt>
                <c:pt idx="64" formatCode="0.00000">
                  <c:v>9.8212292064283422E-3</c:v>
                </c:pt>
                <c:pt idx="65" formatCode="0.00000">
                  <c:v>9.3615425522610932E-3</c:v>
                </c:pt>
                <c:pt idx="66" formatCode="0.00000">
                  <c:v>8.7037824985330484E-3</c:v>
                </c:pt>
                <c:pt idx="67" formatCode="0.00000">
                  <c:v>7.8120158449618985E-3</c:v>
                </c:pt>
                <c:pt idx="68" formatCode="0.00000">
                  <c:v>6.6647764892599406E-3</c:v>
                </c:pt>
                <c:pt idx="69" formatCode="0.00000">
                  <c:v>5.2640549470639349E-3</c:v>
                </c:pt>
                <c:pt idx="70" formatCode="0.00000">
                  <c:v>3.6414036223011204E-3</c:v>
                </c:pt>
                <c:pt idx="71" formatCode="0.00000">
                  <c:v>1.8583974408804048E-3</c:v>
                </c:pt>
                <c:pt idx="72" formatCode="0.00000">
                  <c:v>-1.4272634362667665E-8</c:v>
                </c:pt>
                <c:pt idx="73" formatCode="0.00000">
                  <c:v>-1.8382874403415129E-3</c:v>
                </c:pt>
                <c:pt idx="74" formatCode="0.00000">
                  <c:v>-3.5657623324142126E-3</c:v>
                </c:pt>
                <c:pt idx="75" formatCode="0.00000">
                  <c:v>-5.1103316976570442E-3</c:v>
                </c:pt>
                <c:pt idx="76" formatCode="0.00000">
                  <c:v>-6.4267038560060601E-3</c:v>
                </c:pt>
                <c:pt idx="77" formatCode="0.00000">
                  <c:v>-7.497954618753527E-3</c:v>
                </c:pt>
                <c:pt idx="78" formatCode="0.00000">
                  <c:v>-8.3313960349684392E-3</c:v>
                </c:pt>
                <c:pt idx="79" formatCode="0.00000">
                  <c:v>-8.9511222656428295E-3</c:v>
                </c:pt>
                <c:pt idx="80" formatCode="0.00000">
                  <c:v>-9.3896942419299766E-3</c:v>
                </c:pt>
                <c:pt idx="81" formatCode="0.00000">
                  <c:v>-9.6807212507617601E-3</c:v>
                </c:pt>
                <c:pt idx="82" formatCode="0.00000">
                  <c:v>-9.8531852843163747E-3</c:v>
                </c:pt>
                <c:pt idx="83" formatCode="0.00000">
                  <c:v>-9.9276439250875533E-3</c:v>
                </c:pt>
                <c:pt idx="84" formatCode="0.00000">
                  <c:v>-9.9140827497901877E-3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19712"/>
        <c:axId val="148421248"/>
      </c:scatterChart>
      <c:valAx>
        <c:axId val="148419712"/>
        <c:scaling>
          <c:orientation val="minMax"/>
          <c:max val="200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148421248"/>
        <c:crosses val="autoZero"/>
        <c:crossBetween val="midCat"/>
        <c:majorUnit val="5000"/>
        <c:minorUnit val="1000"/>
      </c:valAx>
      <c:valAx>
        <c:axId val="14842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419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Initial Pole Shift Movement (m) vs Time (min)</c:v>
          </c:tx>
          <c:marker>
            <c:symbol val="none"/>
          </c:marker>
          <c:xVal>
            <c:numRef>
              <c:f>Sheet1!$C$154:$C$186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0.21666666666666667</c:v>
                </c:pt>
                <c:pt idx="14">
                  <c:v>0.23333333333333334</c:v>
                </c:pt>
                <c:pt idx="15">
                  <c:v>0.25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0.38333333333333336</c:v>
                </c:pt>
                <c:pt idx="24">
                  <c:v>0.4</c:v>
                </c:pt>
                <c:pt idx="25">
                  <c:v>0.41666666666666669</c:v>
                </c:pt>
                <c:pt idx="26">
                  <c:v>0.43333333333333335</c:v>
                </c:pt>
                <c:pt idx="27">
                  <c:v>0.45</c:v>
                </c:pt>
                <c:pt idx="28">
                  <c:v>0.46666666666666667</c:v>
                </c:pt>
                <c:pt idx="29">
                  <c:v>0.48333333333333334</c:v>
                </c:pt>
                <c:pt idx="30">
                  <c:v>0.5</c:v>
                </c:pt>
                <c:pt idx="31">
                  <c:v>1</c:v>
                </c:pt>
                <c:pt idx="32">
                  <c:v>2</c:v>
                </c:pt>
              </c:numCache>
            </c:numRef>
          </c:xVal>
          <c:yVal>
            <c:numRef>
              <c:f>Sheet1!$L$154:$L$186</c:f>
              <c:numCache>
                <c:formatCode>0.0</c:formatCode>
                <c:ptCount val="33"/>
                <c:pt idx="0">
                  <c:v>0</c:v>
                </c:pt>
                <c:pt idx="1">
                  <c:v>5.2184143441991182E-3</c:v>
                </c:pt>
                <c:pt idx="2">
                  <c:v>2.0873657149422797E-2</c:v>
                </c:pt>
                <c:pt idx="3">
                  <c:v>4.6965728643044713E-2</c:v>
                </c:pt>
                <c:pt idx="4">
                  <c:v>8.3494628825064865E-2</c:v>
                </c:pt>
                <c:pt idx="5">
                  <c:v>0.1304603572407359</c:v>
                </c:pt>
                <c:pt idx="6">
                  <c:v>0.18786291434480518</c:v>
                </c:pt>
                <c:pt idx="7">
                  <c:v>0.25570229945515166</c:v>
                </c:pt>
                <c:pt idx="8">
                  <c:v>0.33397851325389638</c:v>
                </c:pt>
                <c:pt idx="9">
                  <c:v>0.42269155528629199</c:v>
                </c:pt>
                <c:pt idx="10">
                  <c:v>0.52184142577971215</c:v>
                </c:pt>
                <c:pt idx="11">
                  <c:v>0.63142812427940953</c:v>
                </c:pt>
                <c:pt idx="12">
                  <c:v>0.75145165124013147</c:v>
                </c:pt>
                <c:pt idx="13">
                  <c:v>0.88191200643450429</c:v>
                </c:pt>
                <c:pt idx="14">
                  <c:v>1.022809189862528</c:v>
                </c:pt>
                <c:pt idx="15">
                  <c:v>1.1741432015242026</c:v>
                </c:pt>
                <c:pt idx="16">
                  <c:v>1.3359140409647807</c:v>
                </c:pt>
                <c:pt idx="17">
                  <c:v>1.5081217081842624</c:v>
                </c:pt>
                <c:pt idx="18">
                  <c:v>1.6907662034100213</c:v>
                </c:pt>
                <c:pt idx="19">
                  <c:v>1.8838475264146837</c:v>
                </c:pt>
                <c:pt idx="20">
                  <c:v>2.0873656774256233</c:v>
                </c:pt>
                <c:pt idx="21">
                  <c:v>2.3013206557607191</c:v>
                </c:pt>
                <c:pt idx="22">
                  <c:v>2.5257124614199711</c:v>
                </c:pt>
                <c:pt idx="23">
                  <c:v>2.7605410944033792</c:v>
                </c:pt>
                <c:pt idx="24">
                  <c:v>3.0058065549383173</c:v>
                </c:pt>
                <c:pt idx="25">
                  <c:v>3.2615088427974115</c:v>
                </c:pt>
                <c:pt idx="26">
                  <c:v>3.5276479575259145</c:v>
                </c:pt>
                <c:pt idx="27">
                  <c:v>3.8042238991238264</c:v>
                </c:pt>
                <c:pt idx="28">
                  <c:v>4.0912366673637734</c:v>
                </c:pt>
                <c:pt idx="29">
                  <c:v>4.388686262700503</c:v>
                </c:pt>
                <c:pt idx="30">
                  <c:v>4.6965726846792677</c:v>
                </c:pt>
                <c:pt idx="31">
                  <c:v>18.786289652780397</c:v>
                </c:pt>
                <c:pt idx="32">
                  <c:v>75.14513282990265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52352"/>
        <c:axId val="171258240"/>
      </c:scatterChart>
      <c:valAx>
        <c:axId val="171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58240"/>
        <c:crosses val="autoZero"/>
        <c:crossBetween val="midCat"/>
      </c:valAx>
      <c:valAx>
        <c:axId val="1712582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1252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Initial Pole Shift Movement (m) vs Time (sec)</c:v>
          </c:tx>
          <c:marker>
            <c:symbol val="none"/>
          </c:marker>
          <c:xVal>
            <c:numRef>
              <c:f>Sheet1!$B$154:$B$184</c:f>
              <c:numCache>
                <c:formatCode>0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Sheet1!$L$154:$L$184</c:f>
              <c:numCache>
                <c:formatCode>0.0</c:formatCode>
                <c:ptCount val="31"/>
                <c:pt idx="0">
                  <c:v>0</c:v>
                </c:pt>
                <c:pt idx="1">
                  <c:v>5.2184143441991182E-3</c:v>
                </c:pt>
                <c:pt idx="2">
                  <c:v>2.0873657149422797E-2</c:v>
                </c:pt>
                <c:pt idx="3">
                  <c:v>4.6965728643044713E-2</c:v>
                </c:pt>
                <c:pt idx="4">
                  <c:v>8.3494628825064865E-2</c:v>
                </c:pt>
                <c:pt idx="5">
                  <c:v>0.1304603572407359</c:v>
                </c:pt>
                <c:pt idx="6">
                  <c:v>0.18786291434480518</c:v>
                </c:pt>
                <c:pt idx="7">
                  <c:v>0.25570229945515166</c:v>
                </c:pt>
                <c:pt idx="8">
                  <c:v>0.33397851325389638</c:v>
                </c:pt>
                <c:pt idx="9">
                  <c:v>0.42269155528629199</c:v>
                </c:pt>
                <c:pt idx="10">
                  <c:v>0.52184142577971215</c:v>
                </c:pt>
                <c:pt idx="11">
                  <c:v>0.63142812427940953</c:v>
                </c:pt>
                <c:pt idx="12">
                  <c:v>0.75145165124013147</c:v>
                </c:pt>
                <c:pt idx="13">
                  <c:v>0.88191200643450429</c:v>
                </c:pt>
                <c:pt idx="14">
                  <c:v>1.022809189862528</c:v>
                </c:pt>
                <c:pt idx="15">
                  <c:v>1.1741432015242026</c:v>
                </c:pt>
                <c:pt idx="16">
                  <c:v>1.3359140409647807</c:v>
                </c:pt>
                <c:pt idx="17">
                  <c:v>1.5081217081842624</c:v>
                </c:pt>
                <c:pt idx="18">
                  <c:v>1.6907662034100213</c:v>
                </c:pt>
                <c:pt idx="19">
                  <c:v>1.8838475264146837</c:v>
                </c:pt>
                <c:pt idx="20">
                  <c:v>2.0873656774256233</c:v>
                </c:pt>
                <c:pt idx="21">
                  <c:v>2.3013206557607191</c:v>
                </c:pt>
                <c:pt idx="22">
                  <c:v>2.5257124614199711</c:v>
                </c:pt>
                <c:pt idx="23">
                  <c:v>2.7605410944033792</c:v>
                </c:pt>
                <c:pt idx="24">
                  <c:v>3.0058065549383173</c:v>
                </c:pt>
                <c:pt idx="25">
                  <c:v>3.2615088427974115</c:v>
                </c:pt>
                <c:pt idx="26">
                  <c:v>3.5276479575259145</c:v>
                </c:pt>
                <c:pt idx="27">
                  <c:v>3.8042238991238264</c:v>
                </c:pt>
                <c:pt idx="28">
                  <c:v>4.0912366673637734</c:v>
                </c:pt>
                <c:pt idx="29">
                  <c:v>4.388686262700503</c:v>
                </c:pt>
                <c:pt idx="30">
                  <c:v>4.6965726846792677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95104"/>
        <c:axId val="171296640"/>
      </c:scatterChart>
      <c:valAx>
        <c:axId val="171295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1296640"/>
        <c:crosses val="autoZero"/>
        <c:crossBetween val="midCat"/>
      </c:valAx>
      <c:valAx>
        <c:axId val="171296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1295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Initial Pole Shift Movement (km) vs Time (hrs)</c:v>
          </c:tx>
          <c:marker>
            <c:symbol val="none"/>
          </c:marker>
          <c:xVal>
            <c:numRef>
              <c:f>Sheet1!$D$154:$D$217</c:f>
              <c:numCache>
                <c:formatCode>0.00000</c:formatCode>
                <c:ptCount val="64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</c:numCache>
            </c:numRef>
          </c:xVal>
          <c:yVal>
            <c:numRef>
              <c:f>Sheet1!$K$154:$K$217</c:f>
              <c:numCache>
                <c:formatCode>0</c:formatCode>
                <c:ptCount val="6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04832"/>
        <c:axId val="171306368"/>
      </c:scatterChart>
      <c:valAx>
        <c:axId val="171304832"/>
        <c:scaling>
          <c:orientation val="minMax"/>
          <c:max val="3"/>
        </c:scaling>
        <c:delete val="0"/>
        <c:axPos val="b"/>
        <c:numFmt formatCode="General" sourceLinked="1"/>
        <c:majorTickMark val="out"/>
        <c:minorTickMark val="none"/>
        <c:tickLblPos val="nextTo"/>
        <c:crossAx val="171306368"/>
        <c:crosses val="autoZero"/>
        <c:crossBetween val="midCat"/>
      </c:valAx>
      <c:valAx>
        <c:axId val="171306368"/>
        <c:scaling>
          <c:orientation val="minMax"/>
          <c:max val="6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1304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Shift Acceleration (G-force: a/G) vs Time (min)</c:v>
          </c:tx>
          <c:marker>
            <c:symbol val="none"/>
          </c:marker>
          <c:xVal>
            <c:numRef>
              <c:f>Sheet1!$C$154:$C$190</c:f>
              <c:numCache>
                <c:formatCode>0.00</c:formatCode>
                <c:ptCount val="37"/>
                <c:pt idx="0" formatCode="General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0.21666666666666667</c:v>
                </c:pt>
                <c:pt idx="14">
                  <c:v>0.23333333333333334</c:v>
                </c:pt>
                <c:pt idx="15">
                  <c:v>0.25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0.38333333333333336</c:v>
                </c:pt>
                <c:pt idx="24">
                  <c:v>0.4</c:v>
                </c:pt>
                <c:pt idx="25">
                  <c:v>0.41666666666666669</c:v>
                </c:pt>
                <c:pt idx="26">
                  <c:v>0.43333333333333335</c:v>
                </c:pt>
                <c:pt idx="27">
                  <c:v>0.45</c:v>
                </c:pt>
                <c:pt idx="28">
                  <c:v>0.46666666666666667</c:v>
                </c:pt>
                <c:pt idx="29">
                  <c:v>0.48333333333333334</c:v>
                </c:pt>
                <c:pt idx="30">
                  <c:v>0.5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</c:numCache>
            </c:numRef>
          </c:xVal>
          <c:yVal>
            <c:numRef>
              <c:f>Sheet1!$M$154:$M$190</c:f>
              <c:numCache>
                <c:formatCode>0.000000000</c:formatCode>
                <c:ptCount val="37"/>
                <c:pt idx="0">
                  <c:v>1.063896896335717E-3</c:v>
                </c:pt>
                <c:pt idx="1">
                  <c:v>1.063896896102043E-3</c:v>
                </c:pt>
                <c:pt idx="2">
                  <c:v>1.0638968954010208E-3</c:v>
                </c:pt>
                <c:pt idx="3">
                  <c:v>1.0638968942326505E-3</c:v>
                </c:pt>
                <c:pt idx="4">
                  <c:v>1.0638968925969325E-3</c:v>
                </c:pt>
                <c:pt idx="5">
                  <c:v>1.0638968904938661E-3</c:v>
                </c:pt>
                <c:pt idx="6">
                  <c:v>1.0638968879234517E-3</c:v>
                </c:pt>
                <c:pt idx="7">
                  <c:v>1.0638968848856892E-3</c:v>
                </c:pt>
                <c:pt idx="8">
                  <c:v>1.0638968813805785E-3</c:v>
                </c:pt>
                <c:pt idx="9">
                  <c:v>1.0638968774081192E-3</c:v>
                </c:pt>
                <c:pt idx="10">
                  <c:v>1.0638968729683117E-3</c:v>
                </c:pt>
                <c:pt idx="11">
                  <c:v>1.0638968680611557E-3</c:v>
                </c:pt>
                <c:pt idx="12">
                  <c:v>1.0638968626866512E-3</c:v>
                </c:pt>
                <c:pt idx="13">
                  <c:v>1.0638968568447982E-3</c:v>
                </c:pt>
                <c:pt idx="14">
                  <c:v>1.0638968505355961E-3</c:v>
                </c:pt>
                <c:pt idx="15">
                  <c:v>1.0638968437590454E-3</c:v>
                </c:pt>
                <c:pt idx="16">
                  <c:v>1.0638968365151455E-3</c:v>
                </c:pt>
                <c:pt idx="17">
                  <c:v>1.063896828803897E-3</c:v>
                </c:pt>
                <c:pt idx="18">
                  <c:v>1.0638968206252988E-3</c:v>
                </c:pt>
                <c:pt idx="19">
                  <c:v>1.0638968119793513E-3</c:v>
                </c:pt>
                <c:pt idx="20">
                  <c:v>1.0638968028660542E-3</c:v>
                </c:pt>
                <c:pt idx="21">
                  <c:v>1.0638967932854076E-3</c:v>
                </c:pt>
                <c:pt idx="22">
                  <c:v>1.0638967832374108E-3</c:v>
                </c:pt>
                <c:pt idx="23">
                  <c:v>1.0638967727220642E-3</c:v>
                </c:pt>
                <c:pt idx="24">
                  <c:v>1.0638967617393675E-3</c:v>
                </c:pt>
                <c:pt idx="25">
                  <c:v>1.06389675028932E-3</c:v>
                </c:pt>
                <c:pt idx="26">
                  <c:v>1.0638967383719219E-3</c:v>
                </c:pt>
                <c:pt idx="27">
                  <c:v>1.0638967259871731E-3</c:v>
                </c:pt>
                <c:pt idx="28">
                  <c:v>1.0638967131350733E-3</c:v>
                </c:pt>
                <c:pt idx="29">
                  <c:v>1.0638966998156221E-3</c:v>
                </c:pt>
                <c:pt idx="30">
                  <c:v>1.0638966860288192E-3</c:v>
                </c:pt>
                <c:pt idx="31">
                  <c:v>1.0638960551047003E-3</c:v>
                </c:pt>
                <c:pt idx="32">
                  <c:v>1.0638935313572176E-3</c:v>
                </c:pt>
                <c:pt idx="33">
                  <c:v>1.0638893249325164E-3</c:v>
                </c:pt>
                <c:pt idx="34">
                  <c:v>1.0638834355606501E-3</c:v>
                </c:pt>
                <c:pt idx="35">
                  <c:v>1.0638758628631695E-3</c:v>
                </c:pt>
                <c:pt idx="36">
                  <c:v>1.0638666063531284E-3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63104"/>
        <c:axId val="175277184"/>
      </c:scatterChart>
      <c:valAx>
        <c:axId val="175263104"/>
        <c:scaling>
          <c:orientation val="minMax"/>
          <c:max val="6"/>
        </c:scaling>
        <c:delete val="0"/>
        <c:axPos val="b"/>
        <c:numFmt formatCode="General" sourceLinked="1"/>
        <c:majorTickMark val="out"/>
        <c:minorTickMark val="none"/>
        <c:tickLblPos val="nextTo"/>
        <c:crossAx val="175277184"/>
        <c:crosses val="autoZero"/>
        <c:crossBetween val="midCat"/>
      </c:valAx>
      <c:valAx>
        <c:axId val="175277184"/>
        <c:scaling>
          <c:orientation val="minMax"/>
        </c:scaling>
        <c:delete val="0"/>
        <c:axPos val="l"/>
        <c:majorGridlines/>
        <c:numFmt formatCode="0.000000000" sourceLinked="1"/>
        <c:majorTickMark val="out"/>
        <c:minorTickMark val="none"/>
        <c:tickLblPos val="nextTo"/>
        <c:crossAx val="175263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Shift Acceleration (G-force: a/G) vs Time (hrs)</c:v>
          </c:tx>
          <c:marker>
            <c:symbol val="none"/>
          </c:marker>
          <c:xVal>
            <c:numRef>
              <c:f>Sheet1!$D$154:$D$238</c:f>
              <c:numCache>
                <c:formatCode>0.00000</c:formatCode>
                <c:ptCount val="85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  <c:pt idx="69" formatCode="General">
                  <c:v>9</c:v>
                </c:pt>
                <c:pt idx="70" formatCode="General">
                  <c:v>10</c:v>
                </c:pt>
                <c:pt idx="71" formatCode="General">
                  <c:v>11</c:v>
                </c:pt>
                <c:pt idx="72" formatCode="General">
                  <c:v>12</c:v>
                </c:pt>
                <c:pt idx="73" formatCode="General">
                  <c:v>13</c:v>
                </c:pt>
                <c:pt idx="74" formatCode="General">
                  <c:v>14</c:v>
                </c:pt>
                <c:pt idx="75" formatCode="General">
                  <c:v>15</c:v>
                </c:pt>
                <c:pt idx="76" formatCode="General">
                  <c:v>16</c:v>
                </c:pt>
                <c:pt idx="77" formatCode="General">
                  <c:v>17</c:v>
                </c:pt>
                <c:pt idx="78" formatCode="General">
                  <c:v>18</c:v>
                </c:pt>
                <c:pt idx="79" formatCode="General">
                  <c:v>19</c:v>
                </c:pt>
                <c:pt idx="80" formatCode="General">
                  <c:v>20</c:v>
                </c:pt>
                <c:pt idx="81" formatCode="General">
                  <c:v>21</c:v>
                </c:pt>
                <c:pt idx="82" formatCode="General">
                  <c:v>22</c:v>
                </c:pt>
                <c:pt idx="83" formatCode="General">
                  <c:v>23</c:v>
                </c:pt>
                <c:pt idx="84" formatCode="General">
                  <c:v>24</c:v>
                </c:pt>
              </c:numCache>
            </c:numRef>
          </c:xVal>
          <c:yVal>
            <c:numRef>
              <c:f>Sheet1!$N$154:$N$238</c:f>
              <c:numCache>
                <c:formatCode>0.000000</c:formatCode>
                <c:ptCount val="85"/>
                <c:pt idx="0">
                  <c:v>1.063896896335717E-3</c:v>
                </c:pt>
                <c:pt idx="1">
                  <c:v>1.063896896102043E-3</c:v>
                </c:pt>
                <c:pt idx="2">
                  <c:v>1.0638968954010208E-3</c:v>
                </c:pt>
                <c:pt idx="3">
                  <c:v>1.0638968942326505E-3</c:v>
                </c:pt>
                <c:pt idx="4">
                  <c:v>1.0638968925969325E-3</c:v>
                </c:pt>
                <c:pt idx="5">
                  <c:v>1.0638968904938661E-3</c:v>
                </c:pt>
                <c:pt idx="6">
                  <c:v>1.0638968879234517E-3</c:v>
                </c:pt>
                <c:pt idx="7">
                  <c:v>1.0638968848856892E-3</c:v>
                </c:pt>
                <c:pt idx="8">
                  <c:v>1.0638968813805785E-3</c:v>
                </c:pt>
                <c:pt idx="9">
                  <c:v>1.0638968774081192E-3</c:v>
                </c:pt>
                <c:pt idx="10">
                  <c:v>1.0638968729683117E-3</c:v>
                </c:pt>
                <c:pt idx="11">
                  <c:v>1.0638968680611557E-3</c:v>
                </c:pt>
                <c:pt idx="12">
                  <c:v>1.0638968626866512E-3</c:v>
                </c:pt>
                <c:pt idx="13">
                  <c:v>1.0638968568447982E-3</c:v>
                </c:pt>
                <c:pt idx="14">
                  <c:v>1.0638968505355961E-3</c:v>
                </c:pt>
                <c:pt idx="15">
                  <c:v>1.0638968437590454E-3</c:v>
                </c:pt>
                <c:pt idx="16">
                  <c:v>1.0638968365151455E-3</c:v>
                </c:pt>
                <c:pt idx="17">
                  <c:v>1.063896828803897E-3</c:v>
                </c:pt>
                <c:pt idx="18">
                  <c:v>1.0638968206252988E-3</c:v>
                </c:pt>
                <c:pt idx="19">
                  <c:v>1.0638968119793513E-3</c:v>
                </c:pt>
                <c:pt idx="20">
                  <c:v>1.0638968028660542E-3</c:v>
                </c:pt>
                <c:pt idx="21">
                  <c:v>1.0638967932854076E-3</c:v>
                </c:pt>
                <c:pt idx="22">
                  <c:v>1.0638967832374108E-3</c:v>
                </c:pt>
                <c:pt idx="23">
                  <c:v>1.0638967727220642E-3</c:v>
                </c:pt>
                <c:pt idx="24">
                  <c:v>1.0638967617393675E-3</c:v>
                </c:pt>
                <c:pt idx="25">
                  <c:v>1.06389675028932E-3</c:v>
                </c:pt>
                <c:pt idx="26">
                  <c:v>1.0638967383719219E-3</c:v>
                </c:pt>
                <c:pt idx="27">
                  <c:v>1.0638967259871731E-3</c:v>
                </c:pt>
                <c:pt idx="28">
                  <c:v>1.0638967131350733E-3</c:v>
                </c:pt>
                <c:pt idx="29">
                  <c:v>1.0638966998156221E-3</c:v>
                </c:pt>
                <c:pt idx="30">
                  <c:v>1.0638966860288192E-3</c:v>
                </c:pt>
                <c:pt idx="31">
                  <c:v>1.0638960551047003E-3</c:v>
                </c:pt>
                <c:pt idx="32">
                  <c:v>1.0638935313572176E-3</c:v>
                </c:pt>
                <c:pt idx="33">
                  <c:v>1.0638893249325164E-3</c:v>
                </c:pt>
                <c:pt idx="34">
                  <c:v>1.0638834355606501E-3</c:v>
                </c:pt>
                <c:pt idx="35">
                  <c:v>1.0638758628631695E-3</c:v>
                </c:pt>
                <c:pt idx="36">
                  <c:v>1.0638666063531284E-3</c:v>
                </c:pt>
                <c:pt idx="37">
                  <c:v>1.0638556654350942E-3</c:v>
                </c:pt>
                <c:pt idx="38">
                  <c:v>1.0638430394051587E-3</c:v>
                </c:pt>
                <c:pt idx="39">
                  <c:v>1.0638287274509493E-3</c:v>
                </c:pt>
                <c:pt idx="40">
                  <c:v>1.0638127286516461E-3</c:v>
                </c:pt>
                <c:pt idx="41">
                  <c:v>1.0637950419779974E-3</c:v>
                </c:pt>
                <c:pt idx="42">
                  <c:v>1.0637756662923391E-3</c:v>
                </c:pt>
                <c:pt idx="43">
                  <c:v>1.0637546003486147E-3</c:v>
                </c:pt>
                <c:pt idx="44">
                  <c:v>1.0637318427923982E-3</c:v>
                </c:pt>
                <c:pt idx="45">
                  <c:v>1.0637073921609193E-3</c:v>
                </c:pt>
                <c:pt idx="46">
                  <c:v>1.0636812468830892E-3</c:v>
                </c:pt>
                <c:pt idx="47">
                  <c:v>1.0636534052795288E-3</c:v>
                </c:pt>
                <c:pt idx="48">
                  <c:v>1.0636238655626002E-3</c:v>
                </c:pt>
                <c:pt idx="49">
                  <c:v>1.0635926258364377E-3</c:v>
                </c:pt>
                <c:pt idx="50">
                  <c:v>1.0635596840969839E-3</c:v>
                </c:pt>
                <c:pt idx="51">
                  <c:v>1.0635250382320242E-3</c:v>
                </c:pt>
                <c:pt idx="52">
                  <c:v>1.0634886860212266E-3</c:v>
                </c:pt>
                <c:pt idx="53">
                  <c:v>1.0634506251361803E-3</c:v>
                </c:pt>
                <c:pt idx="54">
                  <c:v>1.0634108531404397E-3</c:v>
                </c:pt>
                <c:pt idx="55">
                  <c:v>1.0633693674895674E-3</c:v>
                </c:pt>
                <c:pt idx="56">
                  <c:v>1.0633261655311811E-3</c:v>
                </c:pt>
                <c:pt idx="57">
                  <c:v>1.063281244505001E-3</c:v>
                </c:pt>
                <c:pt idx="58">
                  <c:v>1.0632346015429009E-3</c:v>
                </c:pt>
                <c:pt idx="59">
                  <c:v>1.0631862336689599E-3</c:v>
                </c:pt>
                <c:pt idx="60">
                  <c:v>1.0631361377995163E-3</c:v>
                </c:pt>
                <c:pt idx="61">
                  <c:v>1.0608095603057857E-3</c:v>
                </c:pt>
                <c:pt idx="62">
                  <c:v>1.0508488793842584E-3</c:v>
                </c:pt>
                <c:pt idx="63">
                  <c:v>1.0320131701933696E-3</c:v>
                </c:pt>
                <c:pt idx="64">
                  <c:v>1.0011446693606871E-3</c:v>
                </c:pt>
                <c:pt idx="65">
                  <c:v>9.5428568320704305E-4</c:v>
                </c:pt>
                <c:pt idx="66">
                  <c:v>8.8723572869857782E-4</c:v>
                </c:pt>
                <c:pt idx="67">
                  <c:v>7.9633189041405689E-4</c:v>
                </c:pt>
                <c:pt idx="68">
                  <c:v>6.7938598259530483E-4</c:v>
                </c:pt>
                <c:pt idx="69">
                  <c:v>5.366009120350596E-4</c:v>
                </c:pt>
                <c:pt idx="70">
                  <c:v>3.7119302979624058E-4</c:v>
                </c:pt>
                <c:pt idx="71">
                  <c:v>1.8943908673602495E-4</c:v>
                </c:pt>
                <c:pt idx="72">
                  <c:v>-1.4549066628611279E-9</c:v>
                </c:pt>
                <c:pt idx="73">
                  <c:v>-1.8738913764949162E-4</c:v>
                </c:pt>
                <c:pt idx="74">
                  <c:v>-3.634823988189819E-4</c:v>
                </c:pt>
                <c:pt idx="75">
                  <c:v>-5.2093085603027972E-4</c:v>
                </c:pt>
                <c:pt idx="76">
                  <c:v>-6.5511762038797752E-4</c:v>
                </c:pt>
                <c:pt idx="77">
                  <c:v>-7.6431749426641451E-4</c:v>
                </c:pt>
                <c:pt idx="78">
                  <c:v>-8.4927584454316395E-4</c:v>
                </c:pt>
                <c:pt idx="79">
                  <c:v>-9.1244875286878994E-4</c:v>
                </c:pt>
                <c:pt idx="80">
                  <c:v>-9.571553763435246E-4</c:v>
                </c:pt>
                <c:pt idx="81">
                  <c:v>-9.8682173810007751E-4</c:v>
                </c:pt>
                <c:pt idx="82">
                  <c:v>-1.004402169655084E-3</c:v>
                </c:pt>
                <c:pt idx="83">
                  <c:v>-1.0119922451669269E-3</c:v>
                </c:pt>
                <c:pt idx="84">
                  <c:v>-1.0106098623639335E-3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02528"/>
        <c:axId val="175304064"/>
      </c:scatterChart>
      <c:valAx>
        <c:axId val="1753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304064"/>
        <c:crosses val="autoZero"/>
        <c:crossBetween val="midCat"/>
      </c:valAx>
      <c:valAx>
        <c:axId val="175304064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175302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Distance Traveled During Pole Shift (m/sec vs km from original location)</c:v>
          </c:tx>
          <c:marker>
            <c:symbol val="none"/>
          </c:marker>
          <c:xVal>
            <c:numRef>
              <c:f>Sheet1!$L$84:$L$114</c:f>
              <c:numCache>
                <c:formatCode>0</c:formatCode>
                <c:ptCount val="31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  <c:pt idx="4">
                  <c:v>2226.3419938439661</c:v>
                </c:pt>
                <c:pt idx="5">
                  <c:v>2782.9274923049575</c:v>
                </c:pt>
                <c:pt idx="6">
                  <c:v>3339.5129907659489</c:v>
                </c:pt>
                <c:pt idx="7">
                  <c:v>3896.0984892269403</c:v>
                </c:pt>
                <c:pt idx="8">
                  <c:v>4452.6839876879312</c:v>
                </c:pt>
                <c:pt idx="9">
                  <c:v>5009.2694861489235</c:v>
                </c:pt>
                <c:pt idx="10">
                  <c:v>5565.854984609914</c:v>
                </c:pt>
                <c:pt idx="11">
                  <c:v>6122.4404830709063</c:v>
                </c:pt>
                <c:pt idx="12">
                  <c:v>6679.0259815318987</c:v>
                </c:pt>
                <c:pt idx="13">
                  <c:v>7235.611479992891</c:v>
                </c:pt>
                <c:pt idx="14">
                  <c:v>7792.1969784538833</c:v>
                </c:pt>
                <c:pt idx="15">
                  <c:v>8348.7824769148756</c:v>
                </c:pt>
                <c:pt idx="16">
                  <c:v>8905.3679753758679</c:v>
                </c:pt>
                <c:pt idx="17">
                  <c:v>9461.9534738368602</c:v>
                </c:pt>
                <c:pt idx="18">
                  <c:v>10018.538972297853</c:v>
                </c:pt>
                <c:pt idx="19">
                  <c:v>10575.124470758845</c:v>
                </c:pt>
                <c:pt idx="20">
                  <c:v>11131.709969219837</c:v>
                </c:pt>
                <c:pt idx="21">
                  <c:v>11688.295467680829</c:v>
                </c:pt>
                <c:pt idx="22">
                  <c:v>12244.880966141822</c:v>
                </c:pt>
                <c:pt idx="23">
                  <c:v>12801.466464602814</c:v>
                </c:pt>
                <c:pt idx="24">
                  <c:v>13358.051963063806</c:v>
                </c:pt>
                <c:pt idx="25">
                  <c:v>13914.637461524799</c:v>
                </c:pt>
                <c:pt idx="26">
                  <c:v>14471.222959985791</c:v>
                </c:pt>
                <c:pt idx="27">
                  <c:v>15027.808458446782</c:v>
                </c:pt>
                <c:pt idx="28">
                  <c:v>15584.393956907772</c:v>
                </c:pt>
                <c:pt idx="29">
                  <c:v>16140.979455368763</c:v>
                </c:pt>
                <c:pt idx="30">
                  <c:v>16697.564953829751</c:v>
                </c:pt>
              </c:numCache>
            </c:numRef>
          </c:xVal>
          <c:yVal>
            <c:numRef>
              <c:f>Sheet1!$P$84:$P$114</c:f>
              <c:numCache>
                <c:formatCode>0</c:formatCode>
                <c:ptCount val="31"/>
                <c:pt idx="0">
                  <c:v>0</c:v>
                </c:pt>
                <c:pt idx="1">
                  <c:v>120.94111637716789</c:v>
                </c:pt>
                <c:pt idx="2">
                  <c:v>238.09854130525653</c:v>
                </c:pt>
                <c:pt idx="3">
                  <c:v>350.58063603897574</c:v>
                </c:pt>
                <c:pt idx="4">
                  <c:v>457.53134391885635</c:v>
                </c:pt>
                <c:pt idx="5">
                  <c:v>558.13670547932929</c:v>
                </c:pt>
                <c:pt idx="6">
                  <c:v>651.6310531717412</c:v>
                </c:pt>
                <c:pt idx="7">
                  <c:v>737.30283855672224</c:v>
                </c:pt>
                <c:pt idx="8">
                  <c:v>814.50004761745424</c:v>
                </c:pt>
                <c:pt idx="9">
                  <c:v>882.63516298003572</c:v>
                </c:pt>
                <c:pt idx="10">
                  <c:v>941.18963527545009</c:v>
                </c:pt>
                <c:pt idx="11">
                  <c:v>989.71782961337215</c:v>
                </c:pt>
                <c:pt idx="12">
                  <c:v>1027.8504171327654</c:v>
                </c:pt>
                <c:pt idx="13">
                  <c:v>1055.2971858175215</c:v>
                </c:pt>
                <c:pt idx="14">
                  <c:v>1071.8492491851371</c:v>
                </c:pt>
                <c:pt idx="15">
                  <c:v>1077.3806360389758</c:v>
                </c:pt>
                <c:pt idx="16">
                  <c:v>1071.8492491851371</c:v>
                </c:pt>
                <c:pt idx="17">
                  <c:v>1055.2971858175213</c:v>
                </c:pt>
                <c:pt idx="18">
                  <c:v>1027.8504171327654</c:v>
                </c:pt>
                <c:pt idx="19">
                  <c:v>989.71782961337226</c:v>
                </c:pt>
                <c:pt idx="20">
                  <c:v>941.18963527544997</c:v>
                </c:pt>
                <c:pt idx="21">
                  <c:v>882.63516298003594</c:v>
                </c:pt>
                <c:pt idx="22">
                  <c:v>814.50004761745458</c:v>
                </c:pt>
                <c:pt idx="23">
                  <c:v>737.30283855672224</c:v>
                </c:pt>
                <c:pt idx="24">
                  <c:v>651.63105317174131</c:v>
                </c:pt>
                <c:pt idx="25">
                  <c:v>558.13670547932963</c:v>
                </c:pt>
                <c:pt idx="26">
                  <c:v>457.53134391885618</c:v>
                </c:pt>
                <c:pt idx="27">
                  <c:v>350.58063603897574</c:v>
                </c:pt>
                <c:pt idx="28">
                  <c:v>238.09854130525662</c:v>
                </c:pt>
                <c:pt idx="29">
                  <c:v>120.94111637716756</c:v>
                </c:pt>
                <c:pt idx="3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41888"/>
        <c:axId val="177955968"/>
      </c:scatterChart>
      <c:valAx>
        <c:axId val="177941888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77955968"/>
        <c:crosses val="autoZero"/>
        <c:crossBetween val="midCat"/>
      </c:valAx>
      <c:valAx>
        <c:axId val="1779559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9418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Time Traveled During Pole Shift (km/hr vs hrs from beginning of pole shift)</c:v>
          </c:tx>
          <c:marker>
            <c:symbol val="none"/>
          </c:marker>
          <c:xVal>
            <c:numRef>
              <c:f>Sheet1!$R$84:$R$114</c:f>
              <c:numCache>
                <c:formatCode>0.0</c:formatCode>
                <c:ptCount val="31"/>
                <c:pt idx="0">
                  <c:v>0</c:v>
                </c:pt>
                <c:pt idx="1">
                  <c:v>4.7938747240332305</c:v>
                </c:pt>
                <c:pt idx="2">
                  <c:v>6.4086728347469126</c:v>
                </c:pt>
                <c:pt idx="3">
                  <c:v>7.3935497986518879</c:v>
                </c:pt>
                <c:pt idx="4">
                  <c:v>8.1109956171473883</c:v>
                </c:pt>
                <c:pt idx="5">
                  <c:v>8.6818283427021612</c:v>
                </c:pt>
                <c:pt idx="6">
                  <c:v>9.1610745093741315</c:v>
                </c:pt>
                <c:pt idx="7">
                  <c:v>9.578500107777062</c:v>
                </c:pt>
                <c:pt idx="8">
                  <c:v>9.952114930936883</c:v>
                </c:pt>
                <c:pt idx="9">
                  <c:v>10.293735655836434</c:v>
                </c:pt>
                <c:pt idx="10">
                  <c:v>10.611626146990755</c:v>
                </c:pt>
                <c:pt idx="11">
                  <c:v>10.911887330625595</c:v>
                </c:pt>
                <c:pt idx="12">
                  <c:v>11.199251369900058</c:v>
                </c:pt>
                <c:pt idx="13">
                  <c:v>11.477568931303653</c:v>
                </c:pt>
                <c:pt idx="14">
                  <c:v>11.750129649906057</c:v>
                </c:pt>
                <c:pt idx="15">
                  <c:v>12.019889792775283</c:v>
                </c:pt>
                <c:pt idx="16">
                  <c:v>12.289649935644508</c:v>
                </c:pt>
                <c:pt idx="17">
                  <c:v>12.562210654246913</c:v>
                </c:pt>
                <c:pt idx="18">
                  <c:v>12.840528215650508</c:v>
                </c:pt>
                <c:pt idx="19">
                  <c:v>13.127892254924971</c:v>
                </c:pt>
                <c:pt idx="20">
                  <c:v>13.428153438559811</c:v>
                </c:pt>
                <c:pt idx="21">
                  <c:v>13.746043929714132</c:v>
                </c:pt>
                <c:pt idx="22">
                  <c:v>14.087664654613683</c:v>
                </c:pt>
                <c:pt idx="23">
                  <c:v>14.461279477773505</c:v>
                </c:pt>
                <c:pt idx="24">
                  <c:v>14.878705076176438</c:v>
                </c:pt>
                <c:pt idx="25">
                  <c:v>15.357951242848408</c:v>
                </c:pt>
                <c:pt idx="26">
                  <c:v>15.928783968403181</c:v>
                </c:pt>
                <c:pt idx="27">
                  <c:v>16.646229786898679</c:v>
                </c:pt>
                <c:pt idx="28">
                  <c:v>17.631106750803653</c:v>
                </c:pt>
                <c:pt idx="29">
                  <c:v>19.245904861517335</c:v>
                </c:pt>
                <c:pt idx="30">
                  <c:v>24.039779585550566</c:v>
                </c:pt>
              </c:numCache>
            </c:numRef>
          </c:xVal>
          <c:yVal>
            <c:numRef>
              <c:f>Sheet1!$P$84:$P$114</c:f>
              <c:numCache>
                <c:formatCode>0</c:formatCode>
                <c:ptCount val="31"/>
                <c:pt idx="0">
                  <c:v>0</c:v>
                </c:pt>
                <c:pt idx="1">
                  <c:v>120.94111637716789</c:v>
                </c:pt>
                <c:pt idx="2">
                  <c:v>238.09854130525653</c:v>
                </c:pt>
                <c:pt idx="3">
                  <c:v>350.58063603897574</c:v>
                </c:pt>
                <c:pt idx="4">
                  <c:v>457.53134391885635</c:v>
                </c:pt>
                <c:pt idx="5">
                  <c:v>558.13670547932929</c:v>
                </c:pt>
                <c:pt idx="6">
                  <c:v>651.6310531717412</c:v>
                </c:pt>
                <c:pt idx="7">
                  <c:v>737.30283855672224</c:v>
                </c:pt>
                <c:pt idx="8">
                  <c:v>814.50004761745424</c:v>
                </c:pt>
                <c:pt idx="9">
                  <c:v>882.63516298003572</c:v>
                </c:pt>
                <c:pt idx="10">
                  <c:v>941.18963527545009</c:v>
                </c:pt>
                <c:pt idx="11">
                  <c:v>989.71782961337215</c:v>
                </c:pt>
                <c:pt idx="12">
                  <c:v>1027.8504171327654</c:v>
                </c:pt>
                <c:pt idx="13">
                  <c:v>1055.2971858175215</c:v>
                </c:pt>
                <c:pt idx="14">
                  <c:v>1071.8492491851371</c:v>
                </c:pt>
                <c:pt idx="15">
                  <c:v>1077.3806360389758</c:v>
                </c:pt>
                <c:pt idx="16">
                  <c:v>1071.8492491851371</c:v>
                </c:pt>
                <c:pt idx="17">
                  <c:v>1055.2971858175213</c:v>
                </c:pt>
                <c:pt idx="18">
                  <c:v>1027.8504171327654</c:v>
                </c:pt>
                <c:pt idx="19">
                  <c:v>989.71782961337226</c:v>
                </c:pt>
                <c:pt idx="20">
                  <c:v>941.18963527544997</c:v>
                </c:pt>
                <c:pt idx="21">
                  <c:v>882.63516298003594</c:v>
                </c:pt>
                <c:pt idx="22">
                  <c:v>814.50004761745458</c:v>
                </c:pt>
                <c:pt idx="23">
                  <c:v>737.30283855672224</c:v>
                </c:pt>
                <c:pt idx="24">
                  <c:v>651.63105317174131</c:v>
                </c:pt>
                <c:pt idx="25">
                  <c:v>558.13670547932963</c:v>
                </c:pt>
                <c:pt idx="26">
                  <c:v>457.53134391885618</c:v>
                </c:pt>
                <c:pt idx="27">
                  <c:v>350.58063603897574</c:v>
                </c:pt>
                <c:pt idx="28">
                  <c:v>238.09854130525662</c:v>
                </c:pt>
                <c:pt idx="29">
                  <c:v>120.94111637716756</c:v>
                </c:pt>
                <c:pt idx="3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84640"/>
        <c:axId val="177986176"/>
      </c:scatterChart>
      <c:valAx>
        <c:axId val="177984640"/>
        <c:scaling>
          <c:orientation val="minMax"/>
        </c:scaling>
        <c:delete val="0"/>
        <c:axPos val="b"/>
        <c:numFmt formatCode="0.0" sourceLinked="1"/>
        <c:majorTickMark val="out"/>
        <c:minorTickMark val="out"/>
        <c:tickLblPos val="nextTo"/>
        <c:crossAx val="177986176"/>
        <c:crosses val="autoZero"/>
        <c:crossBetween val="midCat"/>
      </c:valAx>
      <c:valAx>
        <c:axId val="1779861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984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Time Traveled During Pole Shift (m/sec vs hrs from beginning of pole shift)</c:v>
          </c:tx>
          <c:marker>
            <c:symbol val="none"/>
          </c:marker>
          <c:xVal>
            <c:numRef>
              <c:f>Sheet1!$D$154:$D$237</c:f>
              <c:numCache>
                <c:formatCode>0.00000</c:formatCode>
                <c:ptCount val="84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  <c:pt idx="69" formatCode="General">
                  <c:v>9</c:v>
                </c:pt>
                <c:pt idx="70" formatCode="General">
                  <c:v>10</c:v>
                </c:pt>
                <c:pt idx="71" formatCode="General">
                  <c:v>11</c:v>
                </c:pt>
                <c:pt idx="72" formatCode="General">
                  <c:v>12</c:v>
                </c:pt>
                <c:pt idx="73" formatCode="General">
                  <c:v>13</c:v>
                </c:pt>
                <c:pt idx="74" formatCode="General">
                  <c:v>14</c:v>
                </c:pt>
                <c:pt idx="75" formatCode="General">
                  <c:v>15</c:v>
                </c:pt>
                <c:pt idx="76" formatCode="General">
                  <c:v>16</c:v>
                </c:pt>
                <c:pt idx="77" formatCode="General">
                  <c:v>17</c:v>
                </c:pt>
                <c:pt idx="78" formatCode="General">
                  <c:v>18</c:v>
                </c:pt>
                <c:pt idx="79" formatCode="General">
                  <c:v>19</c:v>
                </c:pt>
                <c:pt idx="80" formatCode="General">
                  <c:v>20</c:v>
                </c:pt>
                <c:pt idx="81" formatCode="General">
                  <c:v>21</c:v>
                </c:pt>
                <c:pt idx="82" formatCode="General">
                  <c:v>22</c:v>
                </c:pt>
                <c:pt idx="83" formatCode="General">
                  <c:v>23</c:v>
                </c:pt>
              </c:numCache>
            </c:numRef>
          </c:xVal>
          <c:yVal>
            <c:numRef>
              <c:f>Sheet1!$E$154:$E$237</c:f>
              <c:numCache>
                <c:formatCode>0.0</c:formatCode>
                <c:ptCount val="84"/>
                <c:pt idx="0">
                  <c:v>0</c:v>
                </c:pt>
                <c:pt idx="1">
                  <c:v>1.0436828550761041E-2</c:v>
                </c:pt>
                <c:pt idx="2">
                  <c:v>2.0873657094645056E-2</c:v>
                </c:pt>
                <c:pt idx="3">
                  <c:v>3.1310485627067355E-2</c:v>
                </c:pt>
                <c:pt idx="4">
                  <c:v>4.1747314143443265E-2</c:v>
                </c:pt>
                <c:pt idx="5">
                  <c:v>5.2184142639188094E-2</c:v>
                </c:pt>
                <c:pt idx="6">
                  <c:v>6.262097110971715E-2</c:v>
                </c:pt>
                <c:pt idx="7">
                  <c:v>7.3057799550445765E-2</c:v>
                </c:pt>
                <c:pt idx="8">
                  <c:v>8.3494627956789247E-2</c:v>
                </c:pt>
                <c:pt idx="9">
                  <c:v>9.3931456324162901E-2</c:v>
                </c:pt>
                <c:pt idx="10">
                  <c:v>0.10436828464798203</c:v>
                </c:pt>
                <c:pt idx="11">
                  <c:v>0.11480511292366197</c:v>
                </c:pt>
                <c:pt idx="12">
                  <c:v>0.12524194114661802</c:v>
                </c:pt>
                <c:pt idx="13">
                  <c:v>0.1356787693122655</c:v>
                </c:pt>
                <c:pt idx="14">
                  <c:v>0.1461155974160197</c:v>
                </c:pt>
                <c:pt idx="15">
                  <c:v>0.15655242545329595</c:v>
                </c:pt>
                <c:pt idx="16">
                  <c:v>0.16698925341950954</c:v>
                </c:pt>
                <c:pt idx="17">
                  <c:v>0.17742608131007578</c:v>
                </c:pt>
                <c:pt idx="18">
                  <c:v>0.18786290912040995</c:v>
                </c:pt>
                <c:pt idx="19">
                  <c:v>0.19829973684592739</c:v>
                </c:pt>
                <c:pt idx="20">
                  <c:v>0.20873656448204339</c:v>
                </c:pt>
                <c:pt idx="21">
                  <c:v>0.21917339202417324</c:v>
                </c:pt>
                <c:pt idx="22">
                  <c:v>0.22961021946773225</c:v>
                </c:pt>
                <c:pt idx="23">
                  <c:v>0.24004704680813571</c:v>
                </c:pt>
                <c:pt idx="24">
                  <c:v>0.25048387404079892</c:v>
                </c:pt>
                <c:pt idx="25">
                  <c:v>0.26092070116113714</c:v>
                </c:pt>
                <c:pt idx="26">
                  <c:v>0.27135752816456571</c:v>
                </c:pt>
                <c:pt idx="27">
                  <c:v>0.28179435504649986</c:v>
                </c:pt>
                <c:pt idx="28">
                  <c:v>0.29223118180235491</c:v>
                </c:pt>
                <c:pt idx="29">
                  <c:v>0.30266800842754615</c:v>
                </c:pt>
                <c:pt idx="30">
                  <c:v>0.31310483491748886</c:v>
                </c:pt>
                <c:pt idx="31">
                  <c:v>0.62620944393480216</c:v>
                </c:pt>
                <c:pt idx="32">
                  <c:v>1.2524171764916603</c:v>
                </c:pt>
                <c:pt idx="33">
                  <c:v>1.8786224331469394</c:v>
                </c:pt>
                <c:pt idx="34">
                  <c:v>2.5048242233179381</c:v>
                </c:pt>
                <c:pt idx="35">
                  <c:v>3.1310215561991996</c:v>
                </c:pt>
                <c:pt idx="36">
                  <c:v>3.757213440698651</c:v>
                </c:pt>
                <c:pt idx="37">
                  <c:v>4.3833988853737473</c:v>
                </c:pt>
                <c:pt idx="38">
                  <c:v>5.0095768983676239</c:v>
                </c:pt>
                <c:pt idx="39">
                  <c:v>5.6357464873452523</c:v>
                </c:pt>
                <c:pt idx="40">
                  <c:v>6.2619066594296111</c:v>
                </c:pt>
                <c:pt idx="41">
                  <c:v>6.8880564211378603</c:v>
                </c:pt>
                <c:pt idx="42">
                  <c:v>7.5141947783175311</c:v>
                </c:pt>
                <c:pt idx="43">
                  <c:v>8.1403207360827263</c:v>
                </c:pt>
                <c:pt idx="44">
                  <c:v>8.7664332987503322</c:v>
                </c:pt>
                <c:pt idx="45">
                  <c:v>9.3925314697762499</c:v>
                </c:pt>
                <c:pt idx="46">
                  <c:v>10.018614251691636</c:v>
                </c:pt>
                <c:pt idx="47">
                  <c:v>10.644680646039166</c:v>
                </c:pt>
                <c:pt idx="48">
                  <c:v>11.270729653309314</c:v>
                </c:pt>
                <c:pt idx="49">
                  <c:v>11.896760272876641</c:v>
                </c:pt>
                <c:pt idx="50">
                  <c:v>12.522771502936125</c:v>
                </c:pt>
                <c:pt idx="51">
                  <c:v>13.148762340439495</c:v>
                </c:pt>
                <c:pt idx="52">
                  <c:v>13.774731781031589</c:v>
                </c:pt>
                <c:pt idx="53">
                  <c:v>14.400678818986744</c:v>
                </c:pt>
                <c:pt idx="54">
                  <c:v>15.026602447145207</c:v>
                </c:pt>
                <c:pt idx="55">
                  <c:v>15.652501656849566</c:v>
                </c:pt>
                <c:pt idx="56">
                  <c:v>16.27837543788122</c:v>
                </c:pt>
                <c:pt idx="57">
                  <c:v>16.904222778396864</c:v>
                </c:pt>
                <c:pt idx="58">
                  <c:v>17.530042664865015</c:v>
                </c:pt>
                <c:pt idx="59">
                  <c:v>18.155834082002563</c:v>
                </c:pt>
                <c:pt idx="60">
                  <c:v>18.781596012711358</c:v>
                </c:pt>
                <c:pt idx="61">
                  <c:v>37.51337122859092</c:v>
                </c:pt>
                <c:pt idx="62">
                  <c:v>74.62515025292538</c:v>
                </c:pt>
                <c:pt idx="63">
                  <c:v>111.07172737147442</c:v>
                </c:pt>
                <c:pt idx="64">
                  <c:v>146.42815251461644</c:v>
                </c:pt>
                <c:pt idx="65">
                  <c:v>180.12970570275638</c:v>
                </c:pt>
                <c:pt idx="66">
                  <c:v>211.46332269747535</c:v>
                </c:pt>
                <c:pt idx="67">
                  <c:v>239.58657973933819</c:v>
                </c:pt>
                <c:pt idx="68">
                  <c:v>263.579775100674</c:v>
                </c:pt>
                <c:pt idx="69">
                  <c:v>282.53037291010418</c:v>
                </c:pt>
                <c:pt idx="70">
                  <c:v>295.63942595038822</c:v>
                </c:pt>
                <c:pt idx="71">
                  <c:v>302.32965673755768</c:v>
                </c:pt>
                <c:pt idx="72">
                  <c:v>302.32960535607396</c:v>
                </c:pt>
                <c:pt idx="73">
                  <c:v>295.71177057084452</c:v>
                </c:pt>
                <c:pt idx="74">
                  <c:v>282.87502617415333</c:v>
                </c:pt>
                <c:pt idx="75">
                  <c:v>264.47783206258799</c:v>
                </c:pt>
                <c:pt idx="76">
                  <c:v>241.34169818096618</c:v>
                </c:pt>
                <c:pt idx="77">
                  <c:v>214.34906155345348</c:v>
                </c:pt>
                <c:pt idx="78">
                  <c:v>184.3560358275671</c:v>
                </c:pt>
                <c:pt idx="79">
                  <c:v>152.13199567125292</c:v>
                </c:pt>
                <c:pt idx="80">
                  <c:v>118.329096400305</c:v>
                </c:pt>
                <c:pt idx="81">
                  <c:v>83.478499897562671</c:v>
                </c:pt>
                <c:pt idx="82">
                  <c:v>48.007032874023722</c:v>
                </c:pt>
                <c:pt idx="83">
                  <c:v>12.267514743708531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20832"/>
        <c:axId val="178922624"/>
      </c:scatterChart>
      <c:valAx>
        <c:axId val="1789208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78922624"/>
        <c:crosses val="autoZero"/>
        <c:crossBetween val="midCat"/>
      </c:valAx>
      <c:valAx>
        <c:axId val="1789226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8920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Time vs Distance Traveled Since Beginning of Pole Shift (hrs vs km)</c:v>
          </c:tx>
          <c:marker>
            <c:symbol val="none"/>
          </c:marker>
          <c:xVal>
            <c:numRef>
              <c:f>Sheet1!$L$84:$L$114</c:f>
              <c:numCache>
                <c:formatCode>0</c:formatCode>
                <c:ptCount val="31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  <c:pt idx="4">
                  <c:v>2226.3419938439661</c:v>
                </c:pt>
                <c:pt idx="5">
                  <c:v>2782.9274923049575</c:v>
                </c:pt>
                <c:pt idx="6">
                  <c:v>3339.5129907659489</c:v>
                </c:pt>
                <c:pt idx="7">
                  <c:v>3896.0984892269403</c:v>
                </c:pt>
                <c:pt idx="8">
                  <c:v>4452.6839876879312</c:v>
                </c:pt>
                <c:pt idx="9">
                  <c:v>5009.2694861489235</c:v>
                </c:pt>
                <c:pt idx="10">
                  <c:v>5565.854984609914</c:v>
                </c:pt>
                <c:pt idx="11">
                  <c:v>6122.4404830709063</c:v>
                </c:pt>
                <c:pt idx="12">
                  <c:v>6679.0259815318987</c:v>
                </c:pt>
                <c:pt idx="13">
                  <c:v>7235.611479992891</c:v>
                </c:pt>
                <c:pt idx="14">
                  <c:v>7792.1969784538833</c:v>
                </c:pt>
                <c:pt idx="15">
                  <c:v>8348.7824769148756</c:v>
                </c:pt>
                <c:pt idx="16">
                  <c:v>8905.3679753758679</c:v>
                </c:pt>
                <c:pt idx="17">
                  <c:v>9461.9534738368602</c:v>
                </c:pt>
                <c:pt idx="18">
                  <c:v>10018.538972297853</c:v>
                </c:pt>
                <c:pt idx="19">
                  <c:v>10575.124470758845</c:v>
                </c:pt>
                <c:pt idx="20">
                  <c:v>11131.709969219837</c:v>
                </c:pt>
                <c:pt idx="21">
                  <c:v>11688.295467680829</c:v>
                </c:pt>
                <c:pt idx="22">
                  <c:v>12244.880966141822</c:v>
                </c:pt>
                <c:pt idx="23">
                  <c:v>12801.466464602814</c:v>
                </c:pt>
                <c:pt idx="24">
                  <c:v>13358.051963063806</c:v>
                </c:pt>
                <c:pt idx="25">
                  <c:v>13914.637461524799</c:v>
                </c:pt>
                <c:pt idx="26">
                  <c:v>14471.222959985791</c:v>
                </c:pt>
                <c:pt idx="27">
                  <c:v>15027.808458446782</c:v>
                </c:pt>
                <c:pt idx="28">
                  <c:v>15584.393956907772</c:v>
                </c:pt>
                <c:pt idx="29">
                  <c:v>16140.979455368763</c:v>
                </c:pt>
                <c:pt idx="30">
                  <c:v>16697.564953829751</c:v>
                </c:pt>
              </c:numCache>
            </c:numRef>
          </c:xVal>
          <c:yVal>
            <c:numRef>
              <c:f>Sheet1!$R$84:$R$114</c:f>
              <c:numCache>
                <c:formatCode>0.0</c:formatCode>
                <c:ptCount val="31"/>
                <c:pt idx="0">
                  <c:v>0</c:v>
                </c:pt>
                <c:pt idx="1">
                  <c:v>4.7938747240332305</c:v>
                </c:pt>
                <c:pt idx="2">
                  <c:v>6.4086728347469126</c:v>
                </c:pt>
                <c:pt idx="3">
                  <c:v>7.3935497986518879</c:v>
                </c:pt>
                <c:pt idx="4">
                  <c:v>8.1109956171473883</c:v>
                </c:pt>
                <c:pt idx="5">
                  <c:v>8.6818283427021612</c:v>
                </c:pt>
                <c:pt idx="6">
                  <c:v>9.1610745093741315</c:v>
                </c:pt>
                <c:pt idx="7">
                  <c:v>9.578500107777062</c:v>
                </c:pt>
                <c:pt idx="8">
                  <c:v>9.952114930936883</c:v>
                </c:pt>
                <c:pt idx="9">
                  <c:v>10.293735655836434</c:v>
                </c:pt>
                <c:pt idx="10">
                  <c:v>10.611626146990755</c:v>
                </c:pt>
                <c:pt idx="11">
                  <c:v>10.911887330625595</c:v>
                </c:pt>
                <c:pt idx="12">
                  <c:v>11.199251369900058</c:v>
                </c:pt>
                <c:pt idx="13">
                  <c:v>11.477568931303653</c:v>
                </c:pt>
                <c:pt idx="14">
                  <c:v>11.750129649906057</c:v>
                </c:pt>
                <c:pt idx="15">
                  <c:v>12.019889792775283</c:v>
                </c:pt>
                <c:pt idx="16">
                  <c:v>12.289649935644508</c:v>
                </c:pt>
                <c:pt idx="17">
                  <c:v>12.562210654246913</c:v>
                </c:pt>
                <c:pt idx="18">
                  <c:v>12.840528215650508</c:v>
                </c:pt>
                <c:pt idx="19">
                  <c:v>13.127892254924971</c:v>
                </c:pt>
                <c:pt idx="20">
                  <c:v>13.428153438559811</c:v>
                </c:pt>
                <c:pt idx="21">
                  <c:v>13.746043929714132</c:v>
                </c:pt>
                <c:pt idx="22">
                  <c:v>14.087664654613683</c:v>
                </c:pt>
                <c:pt idx="23">
                  <c:v>14.461279477773505</c:v>
                </c:pt>
                <c:pt idx="24">
                  <c:v>14.878705076176438</c:v>
                </c:pt>
                <c:pt idx="25">
                  <c:v>15.357951242848408</c:v>
                </c:pt>
                <c:pt idx="26">
                  <c:v>15.928783968403181</c:v>
                </c:pt>
                <c:pt idx="27">
                  <c:v>16.646229786898679</c:v>
                </c:pt>
                <c:pt idx="28">
                  <c:v>17.631106750803653</c:v>
                </c:pt>
                <c:pt idx="29">
                  <c:v>19.245904861517335</c:v>
                </c:pt>
                <c:pt idx="30">
                  <c:v>24.039779585550566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65760"/>
        <c:axId val="115367296"/>
      </c:scatterChart>
      <c:valAx>
        <c:axId val="115365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5367296"/>
        <c:crosses val="autoZero"/>
        <c:crossBetween val="midCat"/>
      </c:valAx>
      <c:valAx>
        <c:axId val="1153672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365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Detail: Speed vs Time Traveled During Pole Shift (m/sec vs hrs from beginning of pole shift)</c:v>
          </c:tx>
          <c:marker>
            <c:symbol val="none"/>
          </c:marker>
          <c:xVal>
            <c:numRef>
              <c:f>Sheet1!$D$154:$D$214</c:f>
              <c:numCache>
                <c:formatCode>0.00000</c:formatCode>
                <c:ptCount val="61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</c:numCache>
            </c:numRef>
          </c:xVal>
          <c:yVal>
            <c:numRef>
              <c:f>Sheet1!$E$154:$E$214</c:f>
              <c:numCache>
                <c:formatCode>0.0</c:formatCode>
                <c:ptCount val="61"/>
                <c:pt idx="0">
                  <c:v>0</c:v>
                </c:pt>
                <c:pt idx="1">
                  <c:v>1.0436828550761041E-2</c:v>
                </c:pt>
                <c:pt idx="2">
                  <c:v>2.0873657094645056E-2</c:v>
                </c:pt>
                <c:pt idx="3">
                  <c:v>3.1310485627067355E-2</c:v>
                </c:pt>
                <c:pt idx="4">
                  <c:v>4.1747314143443265E-2</c:v>
                </c:pt>
                <c:pt idx="5">
                  <c:v>5.2184142639188094E-2</c:v>
                </c:pt>
                <c:pt idx="6">
                  <c:v>6.262097110971715E-2</c:v>
                </c:pt>
                <c:pt idx="7">
                  <c:v>7.3057799550445765E-2</c:v>
                </c:pt>
                <c:pt idx="8">
                  <c:v>8.3494627956789247E-2</c:v>
                </c:pt>
                <c:pt idx="9">
                  <c:v>9.3931456324162901E-2</c:v>
                </c:pt>
                <c:pt idx="10">
                  <c:v>0.10436828464798203</c:v>
                </c:pt>
                <c:pt idx="11">
                  <c:v>0.11480511292366197</c:v>
                </c:pt>
                <c:pt idx="12">
                  <c:v>0.12524194114661802</c:v>
                </c:pt>
                <c:pt idx="13">
                  <c:v>0.1356787693122655</c:v>
                </c:pt>
                <c:pt idx="14">
                  <c:v>0.1461155974160197</c:v>
                </c:pt>
                <c:pt idx="15">
                  <c:v>0.15655242545329595</c:v>
                </c:pt>
                <c:pt idx="16">
                  <c:v>0.16698925341950954</c:v>
                </c:pt>
                <c:pt idx="17">
                  <c:v>0.17742608131007578</c:v>
                </c:pt>
                <c:pt idx="18">
                  <c:v>0.18786290912040995</c:v>
                </c:pt>
                <c:pt idx="19">
                  <c:v>0.19829973684592739</c:v>
                </c:pt>
                <c:pt idx="20">
                  <c:v>0.20873656448204339</c:v>
                </c:pt>
                <c:pt idx="21">
                  <c:v>0.21917339202417324</c:v>
                </c:pt>
                <c:pt idx="22">
                  <c:v>0.22961021946773225</c:v>
                </c:pt>
                <c:pt idx="23">
                  <c:v>0.24004704680813571</c:v>
                </c:pt>
                <c:pt idx="24">
                  <c:v>0.25048387404079892</c:v>
                </c:pt>
                <c:pt idx="25">
                  <c:v>0.26092070116113714</c:v>
                </c:pt>
                <c:pt idx="26">
                  <c:v>0.27135752816456571</c:v>
                </c:pt>
                <c:pt idx="27">
                  <c:v>0.28179435504649986</c:v>
                </c:pt>
                <c:pt idx="28">
                  <c:v>0.29223118180235491</c:v>
                </c:pt>
                <c:pt idx="29">
                  <c:v>0.30266800842754615</c:v>
                </c:pt>
                <c:pt idx="30">
                  <c:v>0.31310483491748886</c:v>
                </c:pt>
                <c:pt idx="31">
                  <c:v>0.62620944393480216</c:v>
                </c:pt>
                <c:pt idx="32">
                  <c:v>1.2524171764916603</c:v>
                </c:pt>
                <c:pt idx="33">
                  <c:v>1.8786224331469394</c:v>
                </c:pt>
                <c:pt idx="34">
                  <c:v>2.5048242233179381</c:v>
                </c:pt>
                <c:pt idx="35">
                  <c:v>3.1310215561991996</c:v>
                </c:pt>
                <c:pt idx="36">
                  <c:v>3.757213440698651</c:v>
                </c:pt>
                <c:pt idx="37">
                  <c:v>4.3833988853737473</c:v>
                </c:pt>
                <c:pt idx="38">
                  <c:v>5.0095768983676239</c:v>
                </c:pt>
                <c:pt idx="39">
                  <c:v>5.6357464873452523</c:v>
                </c:pt>
                <c:pt idx="40">
                  <c:v>6.2619066594296111</c:v>
                </c:pt>
                <c:pt idx="41">
                  <c:v>6.8880564211378603</c:v>
                </c:pt>
                <c:pt idx="42">
                  <c:v>7.5141947783175311</c:v>
                </c:pt>
                <c:pt idx="43">
                  <c:v>8.1403207360827263</c:v>
                </c:pt>
                <c:pt idx="44">
                  <c:v>8.7664332987503322</c:v>
                </c:pt>
                <c:pt idx="45">
                  <c:v>9.3925314697762499</c:v>
                </c:pt>
                <c:pt idx="46">
                  <c:v>10.018614251691636</c:v>
                </c:pt>
                <c:pt idx="47">
                  <c:v>10.644680646039166</c:v>
                </c:pt>
                <c:pt idx="48">
                  <c:v>11.270729653309314</c:v>
                </c:pt>
                <c:pt idx="49">
                  <c:v>11.896760272876641</c:v>
                </c:pt>
                <c:pt idx="50">
                  <c:v>12.522771502936125</c:v>
                </c:pt>
                <c:pt idx="51">
                  <c:v>13.148762340439495</c:v>
                </c:pt>
                <c:pt idx="52">
                  <c:v>13.774731781031589</c:v>
                </c:pt>
                <c:pt idx="53">
                  <c:v>14.400678818986744</c:v>
                </c:pt>
                <c:pt idx="54">
                  <c:v>15.026602447145207</c:v>
                </c:pt>
                <c:pt idx="55">
                  <c:v>15.652501656849566</c:v>
                </c:pt>
                <c:pt idx="56">
                  <c:v>16.27837543788122</c:v>
                </c:pt>
                <c:pt idx="57">
                  <c:v>16.904222778396864</c:v>
                </c:pt>
                <c:pt idx="58">
                  <c:v>17.530042664865015</c:v>
                </c:pt>
                <c:pt idx="59">
                  <c:v>18.155834082002563</c:v>
                </c:pt>
                <c:pt idx="60">
                  <c:v>18.781596012711358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39008"/>
        <c:axId val="178940544"/>
      </c:scatterChart>
      <c:valAx>
        <c:axId val="17893900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78940544"/>
        <c:crosses val="autoZero"/>
        <c:crossBetween val="midCat"/>
      </c:valAx>
      <c:valAx>
        <c:axId val="1789405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89390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Distance Traveled During Pole Shift (km/hr vs km from original location)</c:v>
          </c:tx>
          <c:marker>
            <c:symbol val="none"/>
          </c:marker>
          <c:xVal>
            <c:numRef>
              <c:f>Sheet1!$K$154:$K$237</c:f>
              <c:numCache>
                <c:formatCode>0</c:formatCode>
                <c:ptCount val="8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  <c:pt idx="69">
                  <c:v>5093.7939155271015</c:v>
                </c:pt>
                <c:pt idx="70">
                  <c:v>6145.0143340604518</c:v>
                </c:pt>
                <c:pt idx="71">
                  <c:v>7232.9125629543632</c:v>
                </c:pt>
                <c:pt idx="72">
                  <c:v>8333.341742626475</c:v>
                </c:pt>
                <c:pt idx="73">
                  <c:v>9421.7282294216711</c:v>
                </c:pt>
                <c:pt idx="74">
                  <c:v>10474.378500863299</c:v>
                </c:pt>
                <c:pt idx="75">
                  <c:v>11469.622455176208</c:v>
                </c:pt>
                <c:pt idx="76">
                  <c:v>12388.627701200707</c:v>
                </c:pt>
                <c:pt idx="77">
                  <c:v>13215.812773665266</c:v>
                </c:pt>
                <c:pt idx="78">
                  <c:v>13938.882649328176</c:v>
                </c:pt>
                <c:pt idx="79">
                  <c:v>14548.576932000822</c:v>
                </c:pt>
                <c:pt idx="80">
                  <c:v>15038.248844135966</c:v>
                </c:pt>
                <c:pt idx="81">
                  <c:v>15403.388372489359</c:v>
                </c:pt>
                <c:pt idx="82">
                  <c:v>15641.179898415647</c:v>
                </c:pt>
                <c:pt idx="83">
                  <c:v>15750.156576119762</c:v>
                </c:pt>
              </c:numCache>
            </c:numRef>
          </c:xVal>
          <c:yVal>
            <c:numRef>
              <c:f>Sheet1!$F$154:$F$237</c:f>
              <c:numCache>
                <c:formatCode>0.0</c:formatCode>
                <c:ptCount val="84"/>
                <c:pt idx="0">
                  <c:v>0</c:v>
                </c:pt>
                <c:pt idx="1">
                  <c:v>3.7572582782739748E-2</c:v>
                </c:pt>
                <c:pt idx="2">
                  <c:v>7.5145165540722203E-2</c:v>
                </c:pt>
                <c:pt idx="3">
                  <c:v>0.11271774825744248</c:v>
                </c:pt>
                <c:pt idx="4">
                  <c:v>0.15029033091639576</c:v>
                </c:pt>
                <c:pt idx="5">
                  <c:v>0.18786291350107714</c:v>
                </c:pt>
                <c:pt idx="6">
                  <c:v>0.22543549599498175</c:v>
                </c:pt>
                <c:pt idx="7">
                  <c:v>0.26300807838160478</c:v>
                </c:pt>
                <c:pt idx="8">
                  <c:v>0.30058066064444128</c:v>
                </c:pt>
                <c:pt idx="9">
                  <c:v>0.33815324276698644</c:v>
                </c:pt>
                <c:pt idx="10">
                  <c:v>0.37572582473273536</c:v>
                </c:pt>
                <c:pt idx="11">
                  <c:v>0.41329840652518307</c:v>
                </c:pt>
                <c:pt idx="12">
                  <c:v>0.45087098812782489</c:v>
                </c:pt>
                <c:pt idx="13">
                  <c:v>0.4884435695241558</c:v>
                </c:pt>
                <c:pt idx="14">
                  <c:v>0.52601615069767094</c:v>
                </c:pt>
                <c:pt idx="15">
                  <c:v>0.5635887316318654</c:v>
                </c:pt>
                <c:pt idx="16">
                  <c:v>0.6011613123102344</c:v>
                </c:pt>
                <c:pt idx="17">
                  <c:v>0.63873389271627279</c:v>
                </c:pt>
                <c:pt idx="18">
                  <c:v>0.67630647283347589</c:v>
                </c:pt>
                <c:pt idx="19">
                  <c:v>0.71387905264533857</c:v>
                </c:pt>
                <c:pt idx="20">
                  <c:v>0.75145163213535626</c:v>
                </c:pt>
                <c:pt idx="21">
                  <c:v>0.78902421128702371</c:v>
                </c:pt>
                <c:pt idx="22">
                  <c:v>0.82659679008383613</c:v>
                </c:pt>
                <c:pt idx="23">
                  <c:v>0.8641693685092886</c:v>
                </c:pt>
                <c:pt idx="24">
                  <c:v>0.90174194654687612</c:v>
                </c:pt>
                <c:pt idx="25">
                  <c:v>0.93931452418009376</c:v>
                </c:pt>
                <c:pt idx="26">
                  <c:v>0.97688710139243662</c:v>
                </c:pt>
                <c:pt idx="27">
                  <c:v>1.0144596781673996</c:v>
                </c:pt>
                <c:pt idx="28">
                  <c:v>1.0520322544884777</c:v>
                </c:pt>
                <c:pt idx="29">
                  <c:v>1.0896048303391661</c:v>
                </c:pt>
                <c:pt idx="30">
                  <c:v>1.12717740570296</c:v>
                </c:pt>
                <c:pt idx="31">
                  <c:v>2.2543539981652878</c:v>
                </c:pt>
                <c:pt idx="32">
                  <c:v>4.508701835369977</c:v>
                </c:pt>
                <c:pt idx="33">
                  <c:v>6.7630407593289821</c:v>
                </c:pt>
                <c:pt idx="34">
                  <c:v>9.0173672039445769</c:v>
                </c:pt>
                <c:pt idx="35">
                  <c:v>11.271677602317119</c:v>
                </c:pt>
                <c:pt idx="36">
                  <c:v>13.525968386515144</c:v>
                </c:pt>
                <c:pt idx="37">
                  <c:v>15.78023598734549</c:v>
                </c:pt>
                <c:pt idx="38">
                  <c:v>18.034476834123446</c:v>
                </c:pt>
                <c:pt idx="39">
                  <c:v>20.28868735444291</c:v>
                </c:pt>
                <c:pt idx="40">
                  <c:v>22.542863973946602</c:v>
                </c:pt>
                <c:pt idx="41">
                  <c:v>24.797003116096299</c:v>
                </c:pt>
                <c:pt idx="42">
                  <c:v>27.051101201943112</c:v>
                </c:pt>
                <c:pt idx="43">
                  <c:v>29.305154649897815</c:v>
                </c:pt>
                <c:pt idx="44">
                  <c:v>31.559159875501198</c:v>
                </c:pt>
                <c:pt idx="45">
                  <c:v>33.813113291194497</c:v>
                </c:pt>
                <c:pt idx="46">
                  <c:v>36.067011306089888</c:v>
                </c:pt>
                <c:pt idx="47">
                  <c:v>38.320850325740999</c:v>
                </c:pt>
                <c:pt idx="48">
                  <c:v>40.574626751913527</c:v>
                </c:pt>
                <c:pt idx="49">
                  <c:v>42.828336982355907</c:v>
                </c:pt>
                <c:pt idx="50">
                  <c:v>45.081977410570055</c:v>
                </c:pt>
                <c:pt idx="51">
                  <c:v>47.335544425582185</c:v>
                </c:pt>
                <c:pt idx="52">
                  <c:v>49.589034411713719</c:v>
                </c:pt>
                <c:pt idx="53">
                  <c:v>51.842443748352281</c:v>
                </c:pt>
                <c:pt idx="54">
                  <c:v>54.095768809722742</c:v>
                </c:pt>
                <c:pt idx="55">
                  <c:v>56.349005964658438</c:v>
                </c:pt>
                <c:pt idx="56">
                  <c:v>58.602151576372393</c:v>
                </c:pt>
                <c:pt idx="57">
                  <c:v>60.855202002228715</c:v>
                </c:pt>
                <c:pt idx="58">
                  <c:v>63.108153593514054</c:v>
                </c:pt>
                <c:pt idx="59">
                  <c:v>65.361002695209237</c:v>
                </c:pt>
                <c:pt idx="60">
                  <c:v>67.613745645760886</c:v>
                </c:pt>
                <c:pt idx="61">
                  <c:v>135.04813642292731</c:v>
                </c:pt>
                <c:pt idx="62">
                  <c:v>268.65054091053139</c:v>
                </c:pt>
                <c:pt idx="63">
                  <c:v>399.85821853730795</c:v>
                </c:pt>
                <c:pt idx="64">
                  <c:v>527.14134905261926</c:v>
                </c:pt>
                <c:pt idx="65">
                  <c:v>648.46694052992302</c:v>
                </c:pt>
                <c:pt idx="66">
                  <c:v>761.26796171091132</c:v>
                </c:pt>
                <c:pt idx="67">
                  <c:v>862.51168706161752</c:v>
                </c:pt>
                <c:pt idx="68">
                  <c:v>948.8871903624264</c:v>
                </c:pt>
                <c:pt idx="69">
                  <c:v>1017.1093424763751</c:v>
                </c:pt>
                <c:pt idx="70">
                  <c:v>1064.3019334213975</c:v>
                </c:pt>
                <c:pt idx="71">
                  <c:v>1088.3867642552077</c:v>
                </c:pt>
                <c:pt idx="72">
                  <c:v>1088.3865792818663</c:v>
                </c:pt>
                <c:pt idx="73">
                  <c:v>1064.5623740550402</c:v>
                </c:pt>
                <c:pt idx="74">
                  <c:v>1018.350094226952</c:v>
                </c:pt>
                <c:pt idx="75">
                  <c:v>952.12019542531675</c:v>
                </c:pt>
                <c:pt idx="76">
                  <c:v>868.83011345147827</c:v>
                </c:pt>
                <c:pt idx="77">
                  <c:v>771.65662159243254</c:v>
                </c:pt>
                <c:pt idx="78">
                  <c:v>663.6817289792416</c:v>
                </c:pt>
                <c:pt idx="79">
                  <c:v>547.67518441651055</c:v>
                </c:pt>
                <c:pt idx="80">
                  <c:v>425.98474704109805</c:v>
                </c:pt>
                <c:pt idx="81">
                  <c:v>300.5225996312256</c:v>
                </c:pt>
                <c:pt idx="82">
                  <c:v>172.8253183464854</c:v>
                </c:pt>
                <c:pt idx="83">
                  <c:v>44.163053077350718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82912"/>
        <c:axId val="178984448"/>
      </c:scatterChart>
      <c:valAx>
        <c:axId val="178982912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78984448"/>
        <c:crosses val="autoZero"/>
        <c:crossBetween val="midCat"/>
      </c:valAx>
      <c:valAx>
        <c:axId val="178984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8982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Distance Traveled During Pole Shift (m/sec vs km from original location)</c:v>
          </c:tx>
          <c:marker>
            <c:symbol val="none"/>
          </c:marker>
          <c:xVal>
            <c:numRef>
              <c:f>Sheet1!$K$154:$K$237</c:f>
              <c:numCache>
                <c:formatCode>0</c:formatCode>
                <c:ptCount val="8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  <c:pt idx="69">
                  <c:v>5093.7939155271015</c:v>
                </c:pt>
                <c:pt idx="70">
                  <c:v>6145.0143340604518</c:v>
                </c:pt>
                <c:pt idx="71">
                  <c:v>7232.9125629543632</c:v>
                </c:pt>
                <c:pt idx="72">
                  <c:v>8333.341742626475</c:v>
                </c:pt>
                <c:pt idx="73">
                  <c:v>9421.7282294216711</c:v>
                </c:pt>
                <c:pt idx="74">
                  <c:v>10474.378500863299</c:v>
                </c:pt>
                <c:pt idx="75">
                  <c:v>11469.622455176208</c:v>
                </c:pt>
                <c:pt idx="76">
                  <c:v>12388.627701200707</c:v>
                </c:pt>
                <c:pt idx="77">
                  <c:v>13215.812773665266</c:v>
                </c:pt>
                <c:pt idx="78">
                  <c:v>13938.882649328176</c:v>
                </c:pt>
                <c:pt idx="79">
                  <c:v>14548.576932000822</c:v>
                </c:pt>
                <c:pt idx="80">
                  <c:v>15038.248844135966</c:v>
                </c:pt>
                <c:pt idx="81">
                  <c:v>15403.388372489359</c:v>
                </c:pt>
                <c:pt idx="82">
                  <c:v>15641.179898415647</c:v>
                </c:pt>
                <c:pt idx="83">
                  <c:v>15750.156576119762</c:v>
                </c:pt>
              </c:numCache>
            </c:numRef>
          </c:xVal>
          <c:yVal>
            <c:numRef>
              <c:f>Sheet1!$E$154:$E$237</c:f>
              <c:numCache>
                <c:formatCode>0.0</c:formatCode>
                <c:ptCount val="84"/>
                <c:pt idx="0">
                  <c:v>0</c:v>
                </c:pt>
                <c:pt idx="1">
                  <c:v>1.0436828550761041E-2</c:v>
                </c:pt>
                <c:pt idx="2">
                  <c:v>2.0873657094645056E-2</c:v>
                </c:pt>
                <c:pt idx="3">
                  <c:v>3.1310485627067355E-2</c:v>
                </c:pt>
                <c:pt idx="4">
                  <c:v>4.1747314143443265E-2</c:v>
                </c:pt>
                <c:pt idx="5">
                  <c:v>5.2184142639188094E-2</c:v>
                </c:pt>
                <c:pt idx="6">
                  <c:v>6.262097110971715E-2</c:v>
                </c:pt>
                <c:pt idx="7">
                  <c:v>7.3057799550445765E-2</c:v>
                </c:pt>
                <c:pt idx="8">
                  <c:v>8.3494627956789247E-2</c:v>
                </c:pt>
                <c:pt idx="9">
                  <c:v>9.3931456324162901E-2</c:v>
                </c:pt>
                <c:pt idx="10">
                  <c:v>0.10436828464798203</c:v>
                </c:pt>
                <c:pt idx="11">
                  <c:v>0.11480511292366197</c:v>
                </c:pt>
                <c:pt idx="12">
                  <c:v>0.12524194114661802</c:v>
                </c:pt>
                <c:pt idx="13">
                  <c:v>0.1356787693122655</c:v>
                </c:pt>
                <c:pt idx="14">
                  <c:v>0.1461155974160197</c:v>
                </c:pt>
                <c:pt idx="15">
                  <c:v>0.15655242545329595</c:v>
                </c:pt>
                <c:pt idx="16">
                  <c:v>0.16698925341950954</c:v>
                </c:pt>
                <c:pt idx="17">
                  <c:v>0.17742608131007578</c:v>
                </c:pt>
                <c:pt idx="18">
                  <c:v>0.18786290912040995</c:v>
                </c:pt>
                <c:pt idx="19">
                  <c:v>0.19829973684592739</c:v>
                </c:pt>
                <c:pt idx="20">
                  <c:v>0.20873656448204339</c:v>
                </c:pt>
                <c:pt idx="21">
                  <c:v>0.21917339202417324</c:v>
                </c:pt>
                <c:pt idx="22">
                  <c:v>0.22961021946773225</c:v>
                </c:pt>
                <c:pt idx="23">
                  <c:v>0.24004704680813571</c:v>
                </c:pt>
                <c:pt idx="24">
                  <c:v>0.25048387404079892</c:v>
                </c:pt>
                <c:pt idx="25">
                  <c:v>0.26092070116113714</c:v>
                </c:pt>
                <c:pt idx="26">
                  <c:v>0.27135752816456571</c:v>
                </c:pt>
                <c:pt idx="27">
                  <c:v>0.28179435504649986</c:v>
                </c:pt>
                <c:pt idx="28">
                  <c:v>0.29223118180235491</c:v>
                </c:pt>
                <c:pt idx="29">
                  <c:v>0.30266800842754615</c:v>
                </c:pt>
                <c:pt idx="30">
                  <c:v>0.31310483491748886</c:v>
                </c:pt>
                <c:pt idx="31">
                  <c:v>0.62620944393480216</c:v>
                </c:pt>
                <c:pt idx="32">
                  <c:v>1.2524171764916603</c:v>
                </c:pt>
                <c:pt idx="33">
                  <c:v>1.8786224331469394</c:v>
                </c:pt>
                <c:pt idx="34">
                  <c:v>2.5048242233179381</c:v>
                </c:pt>
                <c:pt idx="35">
                  <c:v>3.1310215561991996</c:v>
                </c:pt>
                <c:pt idx="36">
                  <c:v>3.757213440698651</c:v>
                </c:pt>
                <c:pt idx="37">
                  <c:v>4.3833988853737473</c:v>
                </c:pt>
                <c:pt idx="38">
                  <c:v>5.0095768983676239</c:v>
                </c:pt>
                <c:pt idx="39">
                  <c:v>5.6357464873452523</c:v>
                </c:pt>
                <c:pt idx="40">
                  <c:v>6.2619066594296111</c:v>
                </c:pt>
                <c:pt idx="41">
                  <c:v>6.8880564211378603</c:v>
                </c:pt>
                <c:pt idx="42">
                  <c:v>7.5141947783175311</c:v>
                </c:pt>
                <c:pt idx="43">
                  <c:v>8.1403207360827263</c:v>
                </c:pt>
                <c:pt idx="44">
                  <c:v>8.7664332987503322</c:v>
                </c:pt>
                <c:pt idx="45">
                  <c:v>9.3925314697762499</c:v>
                </c:pt>
                <c:pt idx="46">
                  <c:v>10.018614251691636</c:v>
                </c:pt>
                <c:pt idx="47">
                  <c:v>10.644680646039166</c:v>
                </c:pt>
                <c:pt idx="48">
                  <c:v>11.270729653309314</c:v>
                </c:pt>
                <c:pt idx="49">
                  <c:v>11.896760272876641</c:v>
                </c:pt>
                <c:pt idx="50">
                  <c:v>12.522771502936125</c:v>
                </c:pt>
                <c:pt idx="51">
                  <c:v>13.148762340439495</c:v>
                </c:pt>
                <c:pt idx="52">
                  <c:v>13.774731781031589</c:v>
                </c:pt>
                <c:pt idx="53">
                  <c:v>14.400678818986744</c:v>
                </c:pt>
                <c:pt idx="54">
                  <c:v>15.026602447145207</c:v>
                </c:pt>
                <c:pt idx="55">
                  <c:v>15.652501656849566</c:v>
                </c:pt>
                <c:pt idx="56">
                  <c:v>16.27837543788122</c:v>
                </c:pt>
                <c:pt idx="57">
                  <c:v>16.904222778396864</c:v>
                </c:pt>
                <c:pt idx="58">
                  <c:v>17.530042664865015</c:v>
                </c:pt>
                <c:pt idx="59">
                  <c:v>18.155834082002563</c:v>
                </c:pt>
                <c:pt idx="60">
                  <c:v>18.781596012711358</c:v>
                </c:pt>
                <c:pt idx="61">
                  <c:v>37.51337122859092</c:v>
                </c:pt>
                <c:pt idx="62">
                  <c:v>74.62515025292538</c:v>
                </c:pt>
                <c:pt idx="63">
                  <c:v>111.07172737147442</c:v>
                </c:pt>
                <c:pt idx="64">
                  <c:v>146.42815251461644</c:v>
                </c:pt>
                <c:pt idx="65">
                  <c:v>180.12970570275638</c:v>
                </c:pt>
                <c:pt idx="66">
                  <c:v>211.46332269747535</c:v>
                </c:pt>
                <c:pt idx="67">
                  <c:v>239.58657973933819</c:v>
                </c:pt>
                <c:pt idx="68">
                  <c:v>263.579775100674</c:v>
                </c:pt>
                <c:pt idx="69">
                  <c:v>282.53037291010418</c:v>
                </c:pt>
                <c:pt idx="70">
                  <c:v>295.63942595038822</c:v>
                </c:pt>
                <c:pt idx="71">
                  <c:v>302.32965673755768</c:v>
                </c:pt>
                <c:pt idx="72">
                  <c:v>302.32960535607396</c:v>
                </c:pt>
                <c:pt idx="73">
                  <c:v>295.71177057084452</c:v>
                </c:pt>
                <c:pt idx="74">
                  <c:v>282.87502617415333</c:v>
                </c:pt>
                <c:pt idx="75">
                  <c:v>264.47783206258799</c:v>
                </c:pt>
                <c:pt idx="76">
                  <c:v>241.34169818096618</c:v>
                </c:pt>
                <c:pt idx="77">
                  <c:v>214.34906155345348</c:v>
                </c:pt>
                <c:pt idx="78">
                  <c:v>184.3560358275671</c:v>
                </c:pt>
                <c:pt idx="79">
                  <c:v>152.13199567125292</c:v>
                </c:pt>
                <c:pt idx="80">
                  <c:v>118.329096400305</c:v>
                </c:pt>
                <c:pt idx="81">
                  <c:v>83.478499897562671</c:v>
                </c:pt>
                <c:pt idx="82">
                  <c:v>48.007032874023722</c:v>
                </c:pt>
                <c:pt idx="83">
                  <c:v>12.267514743708531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97504"/>
        <c:axId val="179011584"/>
      </c:scatterChart>
      <c:valAx>
        <c:axId val="178997504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79011584"/>
        <c:crosses val="autoZero"/>
        <c:crossBetween val="midCat"/>
      </c:valAx>
      <c:valAx>
        <c:axId val="179011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8997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266185476815402E-2"/>
          <c:y val="0.39827573636628755"/>
          <c:w val="0.53266294838145234"/>
          <c:h val="0.48574438611840187"/>
        </c:manualLayout>
      </c:layout>
      <c:scatterChart>
        <c:scatterStyle val="smoothMarker"/>
        <c:varyColors val="0"/>
        <c:ser>
          <c:idx val="0"/>
          <c:order val="0"/>
          <c:tx>
            <c:v>Speed vs Time Traveled During Pole Shift (km/hr vs hrs from beginning of pole shift)</c:v>
          </c:tx>
          <c:marker>
            <c:symbol val="none"/>
          </c:marker>
          <c:xVal>
            <c:numRef>
              <c:f>Sheet1!$D$154:$D$237</c:f>
              <c:numCache>
                <c:formatCode>0.00000</c:formatCode>
                <c:ptCount val="84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  <c:pt idx="69" formatCode="General">
                  <c:v>9</c:v>
                </c:pt>
                <c:pt idx="70" formatCode="General">
                  <c:v>10</c:v>
                </c:pt>
                <c:pt idx="71" formatCode="General">
                  <c:v>11</c:v>
                </c:pt>
                <c:pt idx="72" formatCode="General">
                  <c:v>12</c:v>
                </c:pt>
                <c:pt idx="73" formatCode="General">
                  <c:v>13</c:v>
                </c:pt>
                <c:pt idx="74" formatCode="General">
                  <c:v>14</c:v>
                </c:pt>
                <c:pt idx="75" formatCode="General">
                  <c:v>15</c:v>
                </c:pt>
                <c:pt idx="76" formatCode="General">
                  <c:v>16</c:v>
                </c:pt>
                <c:pt idx="77" formatCode="General">
                  <c:v>17</c:v>
                </c:pt>
                <c:pt idx="78" formatCode="General">
                  <c:v>18</c:v>
                </c:pt>
                <c:pt idx="79" formatCode="General">
                  <c:v>19</c:v>
                </c:pt>
                <c:pt idx="80" formatCode="General">
                  <c:v>20</c:v>
                </c:pt>
                <c:pt idx="81" formatCode="General">
                  <c:v>21</c:v>
                </c:pt>
                <c:pt idx="82" formatCode="General">
                  <c:v>22</c:v>
                </c:pt>
                <c:pt idx="83" formatCode="General">
                  <c:v>23</c:v>
                </c:pt>
              </c:numCache>
            </c:numRef>
          </c:xVal>
          <c:yVal>
            <c:numRef>
              <c:f>Sheet1!$F$154:$F$237</c:f>
              <c:numCache>
                <c:formatCode>0.0</c:formatCode>
                <c:ptCount val="84"/>
                <c:pt idx="0">
                  <c:v>0</c:v>
                </c:pt>
                <c:pt idx="1">
                  <c:v>3.7572582782739748E-2</c:v>
                </c:pt>
                <c:pt idx="2">
                  <c:v>7.5145165540722203E-2</c:v>
                </c:pt>
                <c:pt idx="3">
                  <c:v>0.11271774825744248</c:v>
                </c:pt>
                <c:pt idx="4">
                  <c:v>0.15029033091639576</c:v>
                </c:pt>
                <c:pt idx="5">
                  <c:v>0.18786291350107714</c:v>
                </c:pt>
                <c:pt idx="6">
                  <c:v>0.22543549599498175</c:v>
                </c:pt>
                <c:pt idx="7">
                  <c:v>0.26300807838160478</c:v>
                </c:pt>
                <c:pt idx="8">
                  <c:v>0.30058066064444128</c:v>
                </c:pt>
                <c:pt idx="9">
                  <c:v>0.33815324276698644</c:v>
                </c:pt>
                <c:pt idx="10">
                  <c:v>0.37572582473273536</c:v>
                </c:pt>
                <c:pt idx="11">
                  <c:v>0.41329840652518307</c:v>
                </c:pt>
                <c:pt idx="12">
                  <c:v>0.45087098812782489</c:v>
                </c:pt>
                <c:pt idx="13">
                  <c:v>0.4884435695241558</c:v>
                </c:pt>
                <c:pt idx="14">
                  <c:v>0.52601615069767094</c:v>
                </c:pt>
                <c:pt idx="15">
                  <c:v>0.5635887316318654</c:v>
                </c:pt>
                <c:pt idx="16">
                  <c:v>0.6011613123102344</c:v>
                </c:pt>
                <c:pt idx="17">
                  <c:v>0.63873389271627279</c:v>
                </c:pt>
                <c:pt idx="18">
                  <c:v>0.67630647283347589</c:v>
                </c:pt>
                <c:pt idx="19">
                  <c:v>0.71387905264533857</c:v>
                </c:pt>
                <c:pt idx="20">
                  <c:v>0.75145163213535626</c:v>
                </c:pt>
                <c:pt idx="21">
                  <c:v>0.78902421128702371</c:v>
                </c:pt>
                <c:pt idx="22">
                  <c:v>0.82659679008383613</c:v>
                </c:pt>
                <c:pt idx="23">
                  <c:v>0.8641693685092886</c:v>
                </c:pt>
                <c:pt idx="24">
                  <c:v>0.90174194654687612</c:v>
                </c:pt>
                <c:pt idx="25">
                  <c:v>0.93931452418009376</c:v>
                </c:pt>
                <c:pt idx="26">
                  <c:v>0.97688710139243662</c:v>
                </c:pt>
                <c:pt idx="27">
                  <c:v>1.0144596781673996</c:v>
                </c:pt>
                <c:pt idx="28">
                  <c:v>1.0520322544884777</c:v>
                </c:pt>
                <c:pt idx="29">
                  <c:v>1.0896048303391661</c:v>
                </c:pt>
                <c:pt idx="30">
                  <c:v>1.12717740570296</c:v>
                </c:pt>
                <c:pt idx="31">
                  <c:v>2.2543539981652878</c:v>
                </c:pt>
                <c:pt idx="32">
                  <c:v>4.508701835369977</c:v>
                </c:pt>
                <c:pt idx="33">
                  <c:v>6.7630407593289821</c:v>
                </c:pt>
                <c:pt idx="34">
                  <c:v>9.0173672039445769</c:v>
                </c:pt>
                <c:pt idx="35">
                  <c:v>11.271677602317119</c:v>
                </c:pt>
                <c:pt idx="36">
                  <c:v>13.525968386515144</c:v>
                </c:pt>
                <c:pt idx="37">
                  <c:v>15.78023598734549</c:v>
                </c:pt>
                <c:pt idx="38">
                  <c:v>18.034476834123446</c:v>
                </c:pt>
                <c:pt idx="39">
                  <c:v>20.28868735444291</c:v>
                </c:pt>
                <c:pt idx="40">
                  <c:v>22.542863973946602</c:v>
                </c:pt>
                <c:pt idx="41">
                  <c:v>24.797003116096299</c:v>
                </c:pt>
                <c:pt idx="42">
                  <c:v>27.051101201943112</c:v>
                </c:pt>
                <c:pt idx="43">
                  <c:v>29.305154649897815</c:v>
                </c:pt>
                <c:pt idx="44">
                  <c:v>31.559159875501198</c:v>
                </c:pt>
                <c:pt idx="45">
                  <c:v>33.813113291194497</c:v>
                </c:pt>
                <c:pt idx="46">
                  <c:v>36.067011306089888</c:v>
                </c:pt>
                <c:pt idx="47">
                  <c:v>38.320850325740999</c:v>
                </c:pt>
                <c:pt idx="48">
                  <c:v>40.574626751913527</c:v>
                </c:pt>
                <c:pt idx="49">
                  <c:v>42.828336982355907</c:v>
                </c:pt>
                <c:pt idx="50">
                  <c:v>45.081977410570055</c:v>
                </c:pt>
                <c:pt idx="51">
                  <c:v>47.335544425582185</c:v>
                </c:pt>
                <c:pt idx="52">
                  <c:v>49.589034411713719</c:v>
                </c:pt>
                <c:pt idx="53">
                  <c:v>51.842443748352281</c:v>
                </c:pt>
                <c:pt idx="54">
                  <c:v>54.095768809722742</c:v>
                </c:pt>
                <c:pt idx="55">
                  <c:v>56.349005964658438</c:v>
                </c:pt>
                <c:pt idx="56">
                  <c:v>58.602151576372393</c:v>
                </c:pt>
                <c:pt idx="57">
                  <c:v>60.855202002228715</c:v>
                </c:pt>
                <c:pt idx="58">
                  <c:v>63.108153593514054</c:v>
                </c:pt>
                <c:pt idx="59">
                  <c:v>65.361002695209237</c:v>
                </c:pt>
                <c:pt idx="60">
                  <c:v>67.613745645760886</c:v>
                </c:pt>
                <c:pt idx="61">
                  <c:v>135.04813642292731</c:v>
                </c:pt>
                <c:pt idx="62">
                  <c:v>268.65054091053139</c:v>
                </c:pt>
                <c:pt idx="63">
                  <c:v>399.85821853730795</c:v>
                </c:pt>
                <c:pt idx="64">
                  <c:v>527.14134905261926</c:v>
                </c:pt>
                <c:pt idx="65">
                  <c:v>648.46694052992302</c:v>
                </c:pt>
                <c:pt idx="66">
                  <c:v>761.26796171091132</c:v>
                </c:pt>
                <c:pt idx="67">
                  <c:v>862.51168706161752</c:v>
                </c:pt>
                <c:pt idx="68">
                  <c:v>948.8871903624264</c:v>
                </c:pt>
                <c:pt idx="69">
                  <c:v>1017.1093424763751</c:v>
                </c:pt>
                <c:pt idx="70">
                  <c:v>1064.3019334213975</c:v>
                </c:pt>
                <c:pt idx="71">
                  <c:v>1088.3867642552077</c:v>
                </c:pt>
                <c:pt idx="72">
                  <c:v>1088.3865792818663</c:v>
                </c:pt>
                <c:pt idx="73">
                  <c:v>1064.5623740550402</c:v>
                </c:pt>
                <c:pt idx="74">
                  <c:v>1018.350094226952</c:v>
                </c:pt>
                <c:pt idx="75">
                  <c:v>952.12019542531675</c:v>
                </c:pt>
                <c:pt idx="76">
                  <c:v>868.83011345147827</c:v>
                </c:pt>
                <c:pt idx="77">
                  <c:v>771.65662159243254</c:v>
                </c:pt>
                <c:pt idx="78">
                  <c:v>663.6817289792416</c:v>
                </c:pt>
                <c:pt idx="79">
                  <c:v>547.67518441651055</c:v>
                </c:pt>
                <c:pt idx="80">
                  <c:v>425.98474704109805</c:v>
                </c:pt>
                <c:pt idx="81">
                  <c:v>300.5225996312256</c:v>
                </c:pt>
                <c:pt idx="82">
                  <c:v>172.8253183464854</c:v>
                </c:pt>
                <c:pt idx="83">
                  <c:v>44.163053077350718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41024"/>
        <c:axId val="179042560"/>
      </c:scatterChart>
      <c:valAx>
        <c:axId val="17904102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79042560"/>
        <c:crosses val="autoZero"/>
        <c:crossBetween val="midCat"/>
      </c:valAx>
      <c:valAx>
        <c:axId val="179042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9041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Speed vs Distance Traveled During Pole Shift (km/hr vs km from original location)</c:v>
          </c:tx>
          <c:marker>
            <c:symbol val="none"/>
          </c:marker>
          <c:xVal>
            <c:numRef>
              <c:f>Sheet1!$K$154:$K$217</c:f>
              <c:numCache>
                <c:formatCode>0</c:formatCode>
                <c:ptCount val="6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</c:numCache>
            </c:numRef>
          </c:xVal>
          <c:yVal>
            <c:numRef>
              <c:f>Sheet1!$F$154:$F$217</c:f>
              <c:numCache>
                <c:formatCode>0.0</c:formatCode>
                <c:ptCount val="64"/>
                <c:pt idx="0">
                  <c:v>0</c:v>
                </c:pt>
                <c:pt idx="1">
                  <c:v>3.7572582782739748E-2</c:v>
                </c:pt>
                <c:pt idx="2">
                  <c:v>7.5145165540722203E-2</c:v>
                </c:pt>
                <c:pt idx="3">
                  <c:v>0.11271774825744248</c:v>
                </c:pt>
                <c:pt idx="4">
                  <c:v>0.15029033091639576</c:v>
                </c:pt>
                <c:pt idx="5">
                  <c:v>0.18786291350107714</c:v>
                </c:pt>
                <c:pt idx="6">
                  <c:v>0.22543549599498175</c:v>
                </c:pt>
                <c:pt idx="7">
                  <c:v>0.26300807838160478</c:v>
                </c:pt>
                <c:pt idx="8">
                  <c:v>0.30058066064444128</c:v>
                </c:pt>
                <c:pt idx="9">
                  <c:v>0.33815324276698644</c:v>
                </c:pt>
                <c:pt idx="10">
                  <c:v>0.37572582473273536</c:v>
                </c:pt>
                <c:pt idx="11">
                  <c:v>0.41329840652518307</c:v>
                </c:pt>
                <c:pt idx="12">
                  <c:v>0.45087098812782489</c:v>
                </c:pt>
                <c:pt idx="13">
                  <c:v>0.4884435695241558</c:v>
                </c:pt>
                <c:pt idx="14">
                  <c:v>0.52601615069767094</c:v>
                </c:pt>
                <c:pt idx="15">
                  <c:v>0.5635887316318654</c:v>
                </c:pt>
                <c:pt idx="16">
                  <c:v>0.6011613123102344</c:v>
                </c:pt>
                <c:pt idx="17">
                  <c:v>0.63873389271627279</c:v>
                </c:pt>
                <c:pt idx="18">
                  <c:v>0.67630647283347589</c:v>
                </c:pt>
                <c:pt idx="19">
                  <c:v>0.71387905264533857</c:v>
                </c:pt>
                <c:pt idx="20">
                  <c:v>0.75145163213535626</c:v>
                </c:pt>
                <c:pt idx="21">
                  <c:v>0.78902421128702371</c:v>
                </c:pt>
                <c:pt idx="22">
                  <c:v>0.82659679008383613</c:v>
                </c:pt>
                <c:pt idx="23">
                  <c:v>0.8641693685092886</c:v>
                </c:pt>
                <c:pt idx="24">
                  <c:v>0.90174194654687612</c:v>
                </c:pt>
                <c:pt idx="25">
                  <c:v>0.93931452418009376</c:v>
                </c:pt>
                <c:pt idx="26">
                  <c:v>0.97688710139243662</c:v>
                </c:pt>
                <c:pt idx="27">
                  <c:v>1.0144596781673996</c:v>
                </c:pt>
                <c:pt idx="28">
                  <c:v>1.0520322544884777</c:v>
                </c:pt>
                <c:pt idx="29">
                  <c:v>1.0896048303391661</c:v>
                </c:pt>
                <c:pt idx="30">
                  <c:v>1.12717740570296</c:v>
                </c:pt>
                <c:pt idx="31">
                  <c:v>2.2543539981652878</c:v>
                </c:pt>
                <c:pt idx="32">
                  <c:v>4.508701835369977</c:v>
                </c:pt>
                <c:pt idx="33">
                  <c:v>6.7630407593289821</c:v>
                </c:pt>
                <c:pt idx="34">
                  <c:v>9.0173672039445769</c:v>
                </c:pt>
                <c:pt idx="35">
                  <c:v>11.271677602317119</c:v>
                </c:pt>
                <c:pt idx="36">
                  <c:v>13.525968386515144</c:v>
                </c:pt>
                <c:pt idx="37">
                  <c:v>15.78023598734549</c:v>
                </c:pt>
                <c:pt idx="38">
                  <c:v>18.034476834123446</c:v>
                </c:pt>
                <c:pt idx="39">
                  <c:v>20.28868735444291</c:v>
                </c:pt>
                <c:pt idx="40">
                  <c:v>22.542863973946602</c:v>
                </c:pt>
                <c:pt idx="41">
                  <c:v>24.797003116096299</c:v>
                </c:pt>
                <c:pt idx="42">
                  <c:v>27.051101201943112</c:v>
                </c:pt>
                <c:pt idx="43">
                  <c:v>29.305154649897815</c:v>
                </c:pt>
                <c:pt idx="44">
                  <c:v>31.559159875501198</c:v>
                </c:pt>
                <c:pt idx="45">
                  <c:v>33.813113291194497</c:v>
                </c:pt>
                <c:pt idx="46">
                  <c:v>36.067011306089888</c:v>
                </c:pt>
                <c:pt idx="47">
                  <c:v>38.320850325740999</c:v>
                </c:pt>
                <c:pt idx="48">
                  <c:v>40.574626751913527</c:v>
                </c:pt>
                <c:pt idx="49">
                  <c:v>42.828336982355907</c:v>
                </c:pt>
                <c:pt idx="50">
                  <c:v>45.081977410570055</c:v>
                </c:pt>
                <c:pt idx="51">
                  <c:v>47.335544425582185</c:v>
                </c:pt>
                <c:pt idx="52">
                  <c:v>49.589034411713719</c:v>
                </c:pt>
                <c:pt idx="53">
                  <c:v>51.842443748352281</c:v>
                </c:pt>
                <c:pt idx="54">
                  <c:v>54.095768809722742</c:v>
                </c:pt>
                <c:pt idx="55">
                  <c:v>56.349005964658438</c:v>
                </c:pt>
                <c:pt idx="56">
                  <c:v>58.602151576372393</c:v>
                </c:pt>
                <c:pt idx="57">
                  <c:v>60.855202002228715</c:v>
                </c:pt>
                <c:pt idx="58">
                  <c:v>63.108153593514054</c:v>
                </c:pt>
                <c:pt idx="59">
                  <c:v>65.361002695209237</c:v>
                </c:pt>
                <c:pt idx="60">
                  <c:v>67.613745645760886</c:v>
                </c:pt>
                <c:pt idx="61">
                  <c:v>135.04813642292731</c:v>
                </c:pt>
                <c:pt idx="62">
                  <c:v>268.65054091053139</c:v>
                </c:pt>
                <c:pt idx="63">
                  <c:v>399.85821853730795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79424"/>
        <c:axId val="179081216"/>
      </c:scatterChart>
      <c:valAx>
        <c:axId val="179079424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79081216"/>
        <c:crosses val="autoZero"/>
        <c:crossBetween val="midCat"/>
      </c:valAx>
      <c:valAx>
        <c:axId val="1790812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9079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Speed vs Distance Traveled During Pole Shift (km/hr vs km from original location)</c:v>
          </c:tx>
          <c:marker>
            <c:symbol val="none"/>
          </c:marker>
          <c:xVal>
            <c:numRef>
              <c:f>Sheet1!$K$154:$K$214</c:f>
              <c:numCache>
                <c:formatCode>0</c:formatCode>
                <c:ptCount val="61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</c:numCache>
            </c:numRef>
          </c:xVal>
          <c:yVal>
            <c:numRef>
              <c:f>Sheet1!$F$154:$F$214</c:f>
              <c:numCache>
                <c:formatCode>0.0</c:formatCode>
                <c:ptCount val="61"/>
                <c:pt idx="0">
                  <c:v>0</c:v>
                </c:pt>
                <c:pt idx="1">
                  <c:v>3.7572582782739748E-2</c:v>
                </c:pt>
                <c:pt idx="2">
                  <c:v>7.5145165540722203E-2</c:v>
                </c:pt>
                <c:pt idx="3">
                  <c:v>0.11271774825744248</c:v>
                </c:pt>
                <c:pt idx="4">
                  <c:v>0.15029033091639576</c:v>
                </c:pt>
                <c:pt idx="5">
                  <c:v>0.18786291350107714</c:v>
                </c:pt>
                <c:pt idx="6">
                  <c:v>0.22543549599498175</c:v>
                </c:pt>
                <c:pt idx="7">
                  <c:v>0.26300807838160478</c:v>
                </c:pt>
                <c:pt idx="8">
                  <c:v>0.30058066064444128</c:v>
                </c:pt>
                <c:pt idx="9">
                  <c:v>0.33815324276698644</c:v>
                </c:pt>
                <c:pt idx="10">
                  <c:v>0.37572582473273536</c:v>
                </c:pt>
                <c:pt idx="11">
                  <c:v>0.41329840652518307</c:v>
                </c:pt>
                <c:pt idx="12">
                  <c:v>0.45087098812782489</c:v>
                </c:pt>
                <c:pt idx="13">
                  <c:v>0.4884435695241558</c:v>
                </c:pt>
                <c:pt idx="14">
                  <c:v>0.52601615069767094</c:v>
                </c:pt>
                <c:pt idx="15">
                  <c:v>0.5635887316318654</c:v>
                </c:pt>
                <c:pt idx="16">
                  <c:v>0.6011613123102344</c:v>
                </c:pt>
                <c:pt idx="17">
                  <c:v>0.63873389271627279</c:v>
                </c:pt>
                <c:pt idx="18">
                  <c:v>0.67630647283347589</c:v>
                </c:pt>
                <c:pt idx="19">
                  <c:v>0.71387905264533857</c:v>
                </c:pt>
                <c:pt idx="20">
                  <c:v>0.75145163213535626</c:v>
                </c:pt>
                <c:pt idx="21">
                  <c:v>0.78902421128702371</c:v>
                </c:pt>
                <c:pt idx="22">
                  <c:v>0.82659679008383613</c:v>
                </c:pt>
                <c:pt idx="23">
                  <c:v>0.8641693685092886</c:v>
                </c:pt>
                <c:pt idx="24">
                  <c:v>0.90174194654687612</c:v>
                </c:pt>
                <c:pt idx="25">
                  <c:v>0.93931452418009376</c:v>
                </c:pt>
                <c:pt idx="26">
                  <c:v>0.97688710139243662</c:v>
                </c:pt>
                <c:pt idx="27">
                  <c:v>1.0144596781673996</c:v>
                </c:pt>
                <c:pt idx="28">
                  <c:v>1.0520322544884777</c:v>
                </c:pt>
                <c:pt idx="29">
                  <c:v>1.0896048303391661</c:v>
                </c:pt>
                <c:pt idx="30">
                  <c:v>1.12717740570296</c:v>
                </c:pt>
                <c:pt idx="31">
                  <c:v>2.2543539981652878</c:v>
                </c:pt>
                <c:pt idx="32">
                  <c:v>4.508701835369977</c:v>
                </c:pt>
                <c:pt idx="33">
                  <c:v>6.7630407593289821</c:v>
                </c:pt>
                <c:pt idx="34">
                  <c:v>9.0173672039445769</c:v>
                </c:pt>
                <c:pt idx="35">
                  <c:v>11.271677602317119</c:v>
                </c:pt>
                <c:pt idx="36">
                  <c:v>13.525968386515144</c:v>
                </c:pt>
                <c:pt idx="37">
                  <c:v>15.78023598734549</c:v>
                </c:pt>
                <c:pt idx="38">
                  <c:v>18.034476834123446</c:v>
                </c:pt>
                <c:pt idx="39">
                  <c:v>20.28868735444291</c:v>
                </c:pt>
                <c:pt idx="40">
                  <c:v>22.542863973946602</c:v>
                </c:pt>
                <c:pt idx="41">
                  <c:v>24.797003116096299</c:v>
                </c:pt>
                <c:pt idx="42">
                  <c:v>27.051101201943112</c:v>
                </c:pt>
                <c:pt idx="43">
                  <c:v>29.305154649897815</c:v>
                </c:pt>
                <c:pt idx="44">
                  <c:v>31.559159875501198</c:v>
                </c:pt>
                <c:pt idx="45">
                  <c:v>33.813113291194497</c:v>
                </c:pt>
                <c:pt idx="46">
                  <c:v>36.067011306089888</c:v>
                </c:pt>
                <c:pt idx="47">
                  <c:v>38.320850325740999</c:v>
                </c:pt>
                <c:pt idx="48">
                  <c:v>40.574626751913527</c:v>
                </c:pt>
                <c:pt idx="49">
                  <c:v>42.828336982355907</c:v>
                </c:pt>
                <c:pt idx="50">
                  <c:v>45.081977410570055</c:v>
                </c:pt>
                <c:pt idx="51">
                  <c:v>47.335544425582185</c:v>
                </c:pt>
                <c:pt idx="52">
                  <c:v>49.589034411713719</c:v>
                </c:pt>
                <c:pt idx="53">
                  <c:v>51.842443748352281</c:v>
                </c:pt>
                <c:pt idx="54">
                  <c:v>54.095768809722742</c:v>
                </c:pt>
                <c:pt idx="55">
                  <c:v>56.349005964658438</c:v>
                </c:pt>
                <c:pt idx="56">
                  <c:v>58.602151576372393</c:v>
                </c:pt>
                <c:pt idx="57">
                  <c:v>60.855202002228715</c:v>
                </c:pt>
                <c:pt idx="58">
                  <c:v>63.108153593514054</c:v>
                </c:pt>
                <c:pt idx="59">
                  <c:v>65.361002695209237</c:v>
                </c:pt>
                <c:pt idx="60">
                  <c:v>67.613745645760886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88768"/>
        <c:axId val="179098752"/>
      </c:scatterChart>
      <c:valAx>
        <c:axId val="179088768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79098752"/>
        <c:crosses val="autoZero"/>
        <c:crossBetween val="midCat"/>
      </c:valAx>
      <c:valAx>
        <c:axId val="1790987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9088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Time vs Distance Traveled Since Beginning of Pole Shift (hrs vs km)</c:v>
          </c:tx>
          <c:marker>
            <c:symbol val="none"/>
          </c:marker>
          <c:xVal>
            <c:numRef>
              <c:f>Sheet1!$K$154:$K$237</c:f>
              <c:numCache>
                <c:formatCode>0</c:formatCode>
                <c:ptCount val="8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  <c:pt idx="69">
                  <c:v>5093.7939155271015</c:v>
                </c:pt>
                <c:pt idx="70">
                  <c:v>6145.0143340604518</c:v>
                </c:pt>
                <c:pt idx="71">
                  <c:v>7232.9125629543632</c:v>
                </c:pt>
                <c:pt idx="72">
                  <c:v>8333.341742626475</c:v>
                </c:pt>
                <c:pt idx="73">
                  <c:v>9421.7282294216711</c:v>
                </c:pt>
                <c:pt idx="74">
                  <c:v>10474.378500863299</c:v>
                </c:pt>
                <c:pt idx="75">
                  <c:v>11469.622455176208</c:v>
                </c:pt>
                <c:pt idx="76">
                  <c:v>12388.627701200707</c:v>
                </c:pt>
                <c:pt idx="77">
                  <c:v>13215.812773665266</c:v>
                </c:pt>
                <c:pt idx="78">
                  <c:v>13938.882649328176</c:v>
                </c:pt>
                <c:pt idx="79">
                  <c:v>14548.576932000822</c:v>
                </c:pt>
                <c:pt idx="80">
                  <c:v>15038.248844135966</c:v>
                </c:pt>
                <c:pt idx="81">
                  <c:v>15403.388372489359</c:v>
                </c:pt>
                <c:pt idx="82">
                  <c:v>15641.179898415647</c:v>
                </c:pt>
                <c:pt idx="83">
                  <c:v>15750.156576119762</c:v>
                </c:pt>
              </c:numCache>
            </c:numRef>
          </c:xVal>
          <c:yVal>
            <c:numRef>
              <c:f>Sheet1!$D$154:$D$237</c:f>
              <c:numCache>
                <c:formatCode>0.00000</c:formatCode>
                <c:ptCount val="84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  <c:pt idx="69" formatCode="General">
                  <c:v>9</c:v>
                </c:pt>
                <c:pt idx="70" formatCode="General">
                  <c:v>10</c:v>
                </c:pt>
                <c:pt idx="71" formatCode="General">
                  <c:v>11</c:v>
                </c:pt>
                <c:pt idx="72" formatCode="General">
                  <c:v>12</c:v>
                </c:pt>
                <c:pt idx="73" formatCode="General">
                  <c:v>13</c:v>
                </c:pt>
                <c:pt idx="74" formatCode="General">
                  <c:v>14</c:v>
                </c:pt>
                <c:pt idx="75" formatCode="General">
                  <c:v>15</c:v>
                </c:pt>
                <c:pt idx="76" formatCode="General">
                  <c:v>16</c:v>
                </c:pt>
                <c:pt idx="77" formatCode="General">
                  <c:v>17</c:v>
                </c:pt>
                <c:pt idx="78" formatCode="General">
                  <c:v>18</c:v>
                </c:pt>
                <c:pt idx="79" formatCode="General">
                  <c:v>19</c:v>
                </c:pt>
                <c:pt idx="80" formatCode="General">
                  <c:v>20</c:v>
                </c:pt>
                <c:pt idx="81" formatCode="General">
                  <c:v>21</c:v>
                </c:pt>
                <c:pt idx="82" formatCode="General">
                  <c:v>22</c:v>
                </c:pt>
                <c:pt idx="83" formatCode="General">
                  <c:v>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36384"/>
        <c:axId val="179137920"/>
      </c:scatterChart>
      <c:valAx>
        <c:axId val="1791363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9137920"/>
        <c:crosses val="autoZero"/>
        <c:crossBetween val="midCat"/>
      </c:valAx>
      <c:valAx>
        <c:axId val="17913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136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Time vs Distance Traveled Since Beginning of Pole Shift (hrs vs km)</c:v>
          </c:tx>
          <c:marker>
            <c:symbol val="none"/>
          </c:marker>
          <c:xVal>
            <c:numRef>
              <c:f>Sheet1!$K$154:$K$222</c:f>
              <c:numCache>
                <c:formatCode>0</c:formatCode>
                <c:ptCount val="69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</c:numCache>
            </c:numRef>
          </c:xVal>
          <c:yVal>
            <c:numRef>
              <c:f>Sheet1!$D$154:$D$222</c:f>
              <c:numCache>
                <c:formatCode>0.00000</c:formatCode>
                <c:ptCount val="69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50208"/>
        <c:axId val="179164288"/>
      </c:scatterChart>
      <c:valAx>
        <c:axId val="179150208"/>
        <c:scaling>
          <c:orientation val="minMax"/>
          <c:max val="4000"/>
        </c:scaling>
        <c:delete val="0"/>
        <c:axPos val="b"/>
        <c:numFmt formatCode="0" sourceLinked="1"/>
        <c:majorTickMark val="out"/>
        <c:minorTickMark val="none"/>
        <c:tickLblPos val="nextTo"/>
        <c:crossAx val="179164288"/>
        <c:crosses val="autoZero"/>
        <c:crossBetween val="midCat"/>
      </c:valAx>
      <c:valAx>
        <c:axId val="179164288"/>
        <c:scaling>
          <c:orientation val="minMax"/>
          <c:max val="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1502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Distance vs Time Since Beginning of Pole Shift (km vs hrs)</c:v>
          </c:tx>
          <c:marker>
            <c:symbol val="none"/>
          </c:marker>
          <c:xVal>
            <c:numRef>
              <c:f>Sheet1!$D$154:$D$237</c:f>
              <c:numCache>
                <c:formatCode>0.00000</c:formatCode>
                <c:ptCount val="84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  <c:pt idx="69" formatCode="General">
                  <c:v>9</c:v>
                </c:pt>
                <c:pt idx="70" formatCode="General">
                  <c:v>10</c:v>
                </c:pt>
                <c:pt idx="71" formatCode="General">
                  <c:v>11</c:v>
                </c:pt>
                <c:pt idx="72" formatCode="General">
                  <c:v>12</c:v>
                </c:pt>
                <c:pt idx="73" formatCode="General">
                  <c:v>13</c:v>
                </c:pt>
                <c:pt idx="74" formatCode="General">
                  <c:v>14</c:v>
                </c:pt>
                <c:pt idx="75" formatCode="General">
                  <c:v>15</c:v>
                </c:pt>
                <c:pt idx="76" formatCode="General">
                  <c:v>16</c:v>
                </c:pt>
                <c:pt idx="77" formatCode="General">
                  <c:v>17</c:v>
                </c:pt>
                <c:pt idx="78" formatCode="General">
                  <c:v>18</c:v>
                </c:pt>
                <c:pt idx="79" formatCode="General">
                  <c:v>19</c:v>
                </c:pt>
                <c:pt idx="80" formatCode="General">
                  <c:v>20</c:v>
                </c:pt>
                <c:pt idx="81" formatCode="General">
                  <c:v>21</c:v>
                </c:pt>
                <c:pt idx="82" formatCode="General">
                  <c:v>22</c:v>
                </c:pt>
                <c:pt idx="83" formatCode="General">
                  <c:v>23</c:v>
                </c:pt>
              </c:numCache>
            </c:numRef>
          </c:xVal>
          <c:yVal>
            <c:numRef>
              <c:f>Sheet1!$K$154:$K$237</c:f>
              <c:numCache>
                <c:formatCode>0</c:formatCode>
                <c:ptCount val="84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  <c:pt idx="69">
                  <c:v>5093.7939155271015</c:v>
                </c:pt>
                <c:pt idx="70">
                  <c:v>6145.0143340604518</c:v>
                </c:pt>
                <c:pt idx="71">
                  <c:v>7232.9125629543632</c:v>
                </c:pt>
                <c:pt idx="72">
                  <c:v>8333.341742626475</c:v>
                </c:pt>
                <c:pt idx="73">
                  <c:v>9421.7282294216711</c:v>
                </c:pt>
                <c:pt idx="74">
                  <c:v>10474.378500863299</c:v>
                </c:pt>
                <c:pt idx="75">
                  <c:v>11469.622455176208</c:v>
                </c:pt>
                <c:pt idx="76">
                  <c:v>12388.627701200707</c:v>
                </c:pt>
                <c:pt idx="77">
                  <c:v>13215.812773665266</c:v>
                </c:pt>
                <c:pt idx="78">
                  <c:v>13938.882649328176</c:v>
                </c:pt>
                <c:pt idx="79">
                  <c:v>14548.576932000822</c:v>
                </c:pt>
                <c:pt idx="80">
                  <c:v>15038.248844135966</c:v>
                </c:pt>
                <c:pt idx="81">
                  <c:v>15403.388372489359</c:v>
                </c:pt>
                <c:pt idx="82">
                  <c:v>15641.179898415647</c:v>
                </c:pt>
                <c:pt idx="83">
                  <c:v>15750.156576119762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93728"/>
        <c:axId val="179195264"/>
      </c:scatterChart>
      <c:valAx>
        <c:axId val="1791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195264"/>
        <c:crosses val="autoZero"/>
        <c:crossBetween val="midCat"/>
      </c:valAx>
      <c:valAx>
        <c:axId val="179195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9193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Distance vs Time Since Beginning of Pole Shift (km vs hrs)</c:v>
          </c:tx>
          <c:marker>
            <c:symbol val="none"/>
          </c:marker>
          <c:xVal>
            <c:numRef>
              <c:f>Sheet1!$D$154:$D$222</c:f>
              <c:numCache>
                <c:formatCode>0.00000</c:formatCode>
                <c:ptCount val="69"/>
                <c:pt idx="0" formatCode="General">
                  <c:v>0</c:v>
                </c:pt>
                <c:pt idx="1">
                  <c:v>2.7777777777777778E-4</c:v>
                </c:pt>
                <c:pt idx="2">
                  <c:v>5.5555555555555556E-4</c:v>
                </c:pt>
                <c:pt idx="3">
                  <c:v>8.3333333333333339E-4</c:v>
                </c:pt>
                <c:pt idx="4">
                  <c:v>1.1111111111111111E-3</c:v>
                </c:pt>
                <c:pt idx="5">
                  <c:v>1.3888888888888887E-3</c:v>
                </c:pt>
                <c:pt idx="6">
                  <c:v>1.6666666666666668E-3</c:v>
                </c:pt>
                <c:pt idx="7">
                  <c:v>1.9444444444444444E-3</c:v>
                </c:pt>
                <c:pt idx="8">
                  <c:v>2.2222222222222222E-3</c:v>
                </c:pt>
                <c:pt idx="9">
                  <c:v>2.5000000000000001E-3</c:v>
                </c:pt>
                <c:pt idx="10">
                  <c:v>2.7777777777777775E-3</c:v>
                </c:pt>
                <c:pt idx="11">
                  <c:v>3.0555555555555553E-3</c:v>
                </c:pt>
                <c:pt idx="12">
                  <c:v>3.3333333333333335E-3</c:v>
                </c:pt>
                <c:pt idx="13">
                  <c:v>3.6111111111111114E-3</c:v>
                </c:pt>
                <c:pt idx="14">
                  <c:v>3.8888888888888888E-3</c:v>
                </c:pt>
                <c:pt idx="15">
                  <c:v>4.1666666666666666E-3</c:v>
                </c:pt>
                <c:pt idx="16">
                  <c:v>4.4444444444444444E-3</c:v>
                </c:pt>
                <c:pt idx="17">
                  <c:v>4.7222222222222223E-3</c:v>
                </c:pt>
                <c:pt idx="18">
                  <c:v>5.0000000000000001E-3</c:v>
                </c:pt>
                <c:pt idx="19">
                  <c:v>5.2777777777777779E-3</c:v>
                </c:pt>
                <c:pt idx="20">
                  <c:v>5.5555555555555549E-3</c:v>
                </c:pt>
                <c:pt idx="21">
                  <c:v>5.8333333333333327E-3</c:v>
                </c:pt>
                <c:pt idx="22">
                  <c:v>6.1111111111111106E-3</c:v>
                </c:pt>
                <c:pt idx="23">
                  <c:v>6.3888888888888893E-3</c:v>
                </c:pt>
                <c:pt idx="24">
                  <c:v>6.6666666666666671E-3</c:v>
                </c:pt>
                <c:pt idx="25">
                  <c:v>6.9444444444444449E-3</c:v>
                </c:pt>
                <c:pt idx="26">
                  <c:v>7.2222222222222228E-3</c:v>
                </c:pt>
                <c:pt idx="27">
                  <c:v>7.5000000000000006E-3</c:v>
                </c:pt>
                <c:pt idx="28">
                  <c:v>7.7777777777777776E-3</c:v>
                </c:pt>
                <c:pt idx="29">
                  <c:v>8.0555555555555554E-3</c:v>
                </c:pt>
                <c:pt idx="30">
                  <c:v>8.3333333333333332E-3</c:v>
                </c:pt>
                <c:pt idx="31">
                  <c:v>1.6666666666666666E-2</c:v>
                </c:pt>
                <c:pt idx="32">
                  <c:v>3.3333333333333333E-2</c:v>
                </c:pt>
                <c:pt idx="33" formatCode="0.00">
                  <c:v>0.05</c:v>
                </c:pt>
                <c:pt idx="34" formatCode="0.00">
                  <c:v>6.6666666666666666E-2</c:v>
                </c:pt>
                <c:pt idx="35" formatCode="0.00">
                  <c:v>8.3333333333333329E-2</c:v>
                </c:pt>
                <c:pt idx="36" formatCode="0.00">
                  <c:v>0.1</c:v>
                </c:pt>
                <c:pt idx="37" formatCode="0.00">
                  <c:v>0.11666666666666667</c:v>
                </c:pt>
                <c:pt idx="38" formatCode="0.00">
                  <c:v>0.13333333333333333</c:v>
                </c:pt>
                <c:pt idx="39" formatCode="0.00">
                  <c:v>0.15</c:v>
                </c:pt>
                <c:pt idx="40" formatCode="0.00">
                  <c:v>0.16666666666666666</c:v>
                </c:pt>
                <c:pt idx="41" formatCode="0.00">
                  <c:v>0.18333333333333332</c:v>
                </c:pt>
                <c:pt idx="42" formatCode="0.00">
                  <c:v>0.2</c:v>
                </c:pt>
                <c:pt idx="43" formatCode="0.00">
                  <c:v>0.21666666666666667</c:v>
                </c:pt>
                <c:pt idx="44" formatCode="0.00">
                  <c:v>0.23333333333333334</c:v>
                </c:pt>
                <c:pt idx="45" formatCode="0.00">
                  <c:v>0.25</c:v>
                </c:pt>
                <c:pt idx="46" formatCode="0.00">
                  <c:v>0.26666666666666666</c:v>
                </c:pt>
                <c:pt idx="47" formatCode="0.00">
                  <c:v>0.28333333333333333</c:v>
                </c:pt>
                <c:pt idx="48" formatCode="0.00">
                  <c:v>0.3</c:v>
                </c:pt>
                <c:pt idx="49" formatCode="0.00">
                  <c:v>0.31666666666666665</c:v>
                </c:pt>
                <c:pt idx="50" formatCode="0.00">
                  <c:v>0.33333333333333331</c:v>
                </c:pt>
                <c:pt idx="51" formatCode="0.00">
                  <c:v>0.35</c:v>
                </c:pt>
                <c:pt idx="52" formatCode="0.00">
                  <c:v>0.36666666666666664</c:v>
                </c:pt>
                <c:pt idx="53" formatCode="0.00">
                  <c:v>0.38333333333333336</c:v>
                </c:pt>
                <c:pt idx="54" formatCode="0.00">
                  <c:v>0.4</c:v>
                </c:pt>
                <c:pt idx="55" formatCode="0.00">
                  <c:v>0.41666666666666669</c:v>
                </c:pt>
                <c:pt idx="56" formatCode="0.00">
                  <c:v>0.43333333333333335</c:v>
                </c:pt>
                <c:pt idx="57" formatCode="0.00">
                  <c:v>0.45</c:v>
                </c:pt>
                <c:pt idx="58" formatCode="0.00">
                  <c:v>0.46666666666666667</c:v>
                </c:pt>
                <c:pt idx="59" formatCode="0.00">
                  <c:v>0.48333333333333334</c:v>
                </c:pt>
                <c:pt idx="60" formatCode="General">
                  <c:v>0.5</c:v>
                </c:pt>
                <c:pt idx="61" formatCode="General">
                  <c:v>1</c:v>
                </c:pt>
                <c:pt idx="62" formatCode="General">
                  <c:v>2</c:v>
                </c:pt>
                <c:pt idx="63" formatCode="General">
                  <c:v>3</c:v>
                </c:pt>
                <c:pt idx="64" formatCode="General">
                  <c:v>4</c:v>
                </c:pt>
                <c:pt idx="65" formatCode="General">
                  <c:v>5</c:v>
                </c:pt>
                <c:pt idx="66" formatCode="General">
                  <c:v>6</c:v>
                </c:pt>
                <c:pt idx="67" formatCode="General">
                  <c:v>7</c:v>
                </c:pt>
                <c:pt idx="68" formatCode="General">
                  <c:v>8</c:v>
                </c:pt>
              </c:numCache>
            </c:numRef>
          </c:xVal>
          <c:yVal>
            <c:numRef>
              <c:f>Sheet1!$K$154:$K$222</c:f>
              <c:numCache>
                <c:formatCode>0</c:formatCode>
                <c:ptCount val="69"/>
                <c:pt idx="0">
                  <c:v>0</c:v>
                </c:pt>
                <c:pt idx="1">
                  <c:v>5.2184143441991182E-6</c:v>
                </c:pt>
                <c:pt idx="2">
                  <c:v>2.0873657149422797E-5</c:v>
                </c:pt>
                <c:pt idx="3">
                  <c:v>4.6965728643044713E-5</c:v>
                </c:pt>
                <c:pt idx="4">
                  <c:v>8.3494628825064865E-5</c:v>
                </c:pt>
                <c:pt idx="5">
                  <c:v>1.304603572407359E-4</c:v>
                </c:pt>
                <c:pt idx="6">
                  <c:v>1.8786291434480518E-4</c:v>
                </c:pt>
                <c:pt idx="7">
                  <c:v>2.5570229945515166E-4</c:v>
                </c:pt>
                <c:pt idx="8">
                  <c:v>3.3397851325389638E-4</c:v>
                </c:pt>
                <c:pt idx="9">
                  <c:v>4.2269155528629199E-4</c:v>
                </c:pt>
                <c:pt idx="10">
                  <c:v>5.2184142577971215E-4</c:v>
                </c:pt>
                <c:pt idx="11">
                  <c:v>6.3142812427940953E-4</c:v>
                </c:pt>
                <c:pt idx="12">
                  <c:v>7.5145165124013147E-4</c:v>
                </c:pt>
                <c:pt idx="13">
                  <c:v>8.8191200643450429E-4</c:v>
                </c:pt>
                <c:pt idx="14">
                  <c:v>1.022809189862528E-3</c:v>
                </c:pt>
                <c:pt idx="15">
                  <c:v>1.1741432015242026E-3</c:v>
                </c:pt>
                <c:pt idx="16">
                  <c:v>1.3359140409647807E-3</c:v>
                </c:pt>
                <c:pt idx="17">
                  <c:v>1.5081217081842624E-3</c:v>
                </c:pt>
                <c:pt idx="18">
                  <c:v>1.6907662034100213E-3</c:v>
                </c:pt>
                <c:pt idx="19">
                  <c:v>1.8838475264146837E-3</c:v>
                </c:pt>
                <c:pt idx="20">
                  <c:v>2.0873656774256233E-3</c:v>
                </c:pt>
                <c:pt idx="21">
                  <c:v>2.3013206557607191E-3</c:v>
                </c:pt>
                <c:pt idx="22">
                  <c:v>2.5257124614199711E-3</c:v>
                </c:pt>
                <c:pt idx="23">
                  <c:v>2.7605410944033792E-3</c:v>
                </c:pt>
                <c:pt idx="24">
                  <c:v>3.0058065549383173E-3</c:v>
                </c:pt>
                <c:pt idx="25">
                  <c:v>3.2615088427974115E-3</c:v>
                </c:pt>
                <c:pt idx="26">
                  <c:v>3.5276479575259145E-3</c:v>
                </c:pt>
                <c:pt idx="27">
                  <c:v>3.8042238991238264E-3</c:v>
                </c:pt>
                <c:pt idx="28">
                  <c:v>4.0912366673637734E-3</c:v>
                </c:pt>
                <c:pt idx="29">
                  <c:v>4.388686262700503E-3</c:v>
                </c:pt>
                <c:pt idx="30">
                  <c:v>4.6965726846792677E-3</c:v>
                </c:pt>
                <c:pt idx="31">
                  <c:v>1.8786289652780397E-2</c:v>
                </c:pt>
                <c:pt idx="32">
                  <c:v>7.514513282990265E-2</c:v>
                </c:pt>
                <c:pt idx="33">
                  <c:v>0.16907639539613228</c:v>
                </c:pt>
                <c:pt idx="34">
                  <c:v>0.30057989908482341</c:v>
                </c:pt>
                <c:pt idx="35">
                  <c:v>0.46965540618884916</c:v>
                </c:pt>
                <c:pt idx="36">
                  <c:v>0.676302619547414</c:v>
                </c:pt>
                <c:pt idx="37">
                  <c:v>0.92052118252422588</c:v>
                </c:pt>
                <c:pt idx="38">
                  <c:v>1.2023106789868052</c:v>
                </c:pt>
                <c:pt idx="39">
                  <c:v>1.5216706332785179</c:v>
                </c:pt>
                <c:pt idx="40">
                  <c:v>1.8786005101885621</c:v>
                </c:pt>
                <c:pt idx="41">
                  <c:v>2.2730997149169525</c:v>
                </c:pt>
                <c:pt idx="42">
                  <c:v>2.7051675930363217</c:v>
                </c:pt>
                <c:pt idx="43">
                  <c:v>3.1748034304507655</c:v>
                </c:pt>
                <c:pt idx="44">
                  <c:v>3.6820064533487766</c:v>
                </c:pt>
                <c:pt idx="45">
                  <c:v>4.2267758281539045</c:v>
                </c:pt>
                <c:pt idx="46">
                  <c:v>4.8091106614710952</c:v>
                </c:pt>
                <c:pt idx="47">
                  <c:v>5.429010000029848</c:v>
                </c:pt>
                <c:pt idx="48">
                  <c:v>6.0864728306223697</c:v>
                </c:pt>
                <c:pt idx="49">
                  <c:v>6.7814980800392277</c:v>
                </c:pt>
                <c:pt idx="50">
                  <c:v>7.5140846149986373</c:v>
                </c:pt>
                <c:pt idx="51">
                  <c:v>8.2842312420764301</c:v>
                </c:pt>
                <c:pt idx="52">
                  <c:v>9.0919367076280651</c:v>
                </c:pt>
                <c:pt idx="53">
                  <c:v>9.9371996977074559</c:v>
                </c:pt>
                <c:pt idx="54">
                  <c:v>10.820018837985344</c:v>
                </c:pt>
                <c:pt idx="55">
                  <c:v>11.740392693658805</c:v>
                </c:pt>
                <c:pt idx="56">
                  <c:v>12.698319769360751</c:v>
                </c:pt>
                <c:pt idx="57">
                  <c:v>13.693798509064891</c:v>
                </c:pt>
                <c:pt idx="58">
                  <c:v>14.726827295984094</c:v>
                </c:pt>
                <c:pt idx="59">
                  <c:v>15.797404452470118</c:v>
                </c:pt>
                <c:pt idx="60">
                  <c:v>16.90552823990447</c:v>
                </c:pt>
                <c:pt idx="61">
                  <c:v>67.607973191922611</c:v>
                </c:pt>
                <c:pt idx="62">
                  <c:v>270.09050039201634</c:v>
                </c:pt>
                <c:pt idx="63">
                  <c:v>605.54224354634971</c:v>
                </c:pt>
                <c:pt idx="64">
                  <c:v>1071.0043008970461</c:v>
                </c:pt>
                <c:pt idx="65">
                  <c:v>1661.7872152073205</c:v>
                </c:pt>
                <c:pt idx="66">
                  <c:v>2370.9169514758955</c:v>
                </c:pt>
                <c:pt idx="67">
                  <c:v>3188.5854237773015</c:v>
                </c:pt>
                <c:pt idx="68">
                  <c:v>4101.7189735142711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23936"/>
        <c:axId val="179225728"/>
      </c:scatterChart>
      <c:valAx>
        <c:axId val="1792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225728"/>
        <c:crosses val="autoZero"/>
        <c:crossBetween val="midCat"/>
      </c:valAx>
      <c:valAx>
        <c:axId val="1792257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9223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Distance vs Time Since Beginning of Pole Shift (km vs hrs)</c:v>
          </c:tx>
          <c:marker>
            <c:symbol val="none"/>
          </c:marker>
          <c:xVal>
            <c:numRef>
              <c:f>Sheet1!$R$84:$R$114</c:f>
              <c:numCache>
                <c:formatCode>0.0</c:formatCode>
                <c:ptCount val="31"/>
                <c:pt idx="0">
                  <c:v>0</c:v>
                </c:pt>
                <c:pt idx="1">
                  <c:v>4.7938747240332305</c:v>
                </c:pt>
                <c:pt idx="2">
                  <c:v>6.4086728347469126</c:v>
                </c:pt>
                <c:pt idx="3">
                  <c:v>7.3935497986518879</c:v>
                </c:pt>
                <c:pt idx="4">
                  <c:v>8.1109956171473883</c:v>
                </c:pt>
                <c:pt idx="5">
                  <c:v>8.6818283427021612</c:v>
                </c:pt>
                <c:pt idx="6">
                  <c:v>9.1610745093741315</c:v>
                </c:pt>
                <c:pt idx="7">
                  <c:v>9.578500107777062</c:v>
                </c:pt>
                <c:pt idx="8">
                  <c:v>9.952114930936883</c:v>
                </c:pt>
                <c:pt idx="9">
                  <c:v>10.293735655836434</c:v>
                </c:pt>
                <c:pt idx="10">
                  <c:v>10.611626146990755</c:v>
                </c:pt>
                <c:pt idx="11">
                  <c:v>10.911887330625595</c:v>
                </c:pt>
                <c:pt idx="12">
                  <c:v>11.199251369900058</c:v>
                </c:pt>
                <c:pt idx="13">
                  <c:v>11.477568931303653</c:v>
                </c:pt>
                <c:pt idx="14">
                  <c:v>11.750129649906057</c:v>
                </c:pt>
                <c:pt idx="15">
                  <c:v>12.019889792775283</c:v>
                </c:pt>
                <c:pt idx="16">
                  <c:v>12.289649935644508</c:v>
                </c:pt>
                <c:pt idx="17">
                  <c:v>12.562210654246913</c:v>
                </c:pt>
                <c:pt idx="18">
                  <c:v>12.840528215650508</c:v>
                </c:pt>
                <c:pt idx="19">
                  <c:v>13.127892254924971</c:v>
                </c:pt>
                <c:pt idx="20">
                  <c:v>13.428153438559811</c:v>
                </c:pt>
                <c:pt idx="21">
                  <c:v>13.746043929714132</c:v>
                </c:pt>
                <c:pt idx="22">
                  <c:v>14.087664654613683</c:v>
                </c:pt>
                <c:pt idx="23">
                  <c:v>14.461279477773505</c:v>
                </c:pt>
                <c:pt idx="24">
                  <c:v>14.878705076176438</c:v>
                </c:pt>
                <c:pt idx="25">
                  <c:v>15.357951242848408</c:v>
                </c:pt>
                <c:pt idx="26">
                  <c:v>15.928783968403181</c:v>
                </c:pt>
                <c:pt idx="27">
                  <c:v>16.646229786898679</c:v>
                </c:pt>
                <c:pt idx="28">
                  <c:v>17.631106750803653</c:v>
                </c:pt>
                <c:pt idx="29">
                  <c:v>19.245904861517335</c:v>
                </c:pt>
                <c:pt idx="30">
                  <c:v>24.039779585550566</c:v>
                </c:pt>
              </c:numCache>
            </c:numRef>
          </c:xVal>
          <c:yVal>
            <c:numRef>
              <c:f>Sheet1!$L$84:$L$114</c:f>
              <c:numCache>
                <c:formatCode>0</c:formatCode>
                <c:ptCount val="31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  <c:pt idx="4">
                  <c:v>2226.3419938439661</c:v>
                </c:pt>
                <c:pt idx="5">
                  <c:v>2782.9274923049575</c:v>
                </c:pt>
                <c:pt idx="6">
                  <c:v>3339.5129907659489</c:v>
                </c:pt>
                <c:pt idx="7">
                  <c:v>3896.0984892269403</c:v>
                </c:pt>
                <c:pt idx="8">
                  <c:v>4452.6839876879312</c:v>
                </c:pt>
                <c:pt idx="9">
                  <c:v>5009.2694861489235</c:v>
                </c:pt>
                <c:pt idx="10">
                  <c:v>5565.854984609914</c:v>
                </c:pt>
                <c:pt idx="11">
                  <c:v>6122.4404830709063</c:v>
                </c:pt>
                <c:pt idx="12">
                  <c:v>6679.0259815318987</c:v>
                </c:pt>
                <c:pt idx="13">
                  <c:v>7235.611479992891</c:v>
                </c:pt>
                <c:pt idx="14">
                  <c:v>7792.1969784538833</c:v>
                </c:pt>
                <c:pt idx="15">
                  <c:v>8348.7824769148756</c:v>
                </c:pt>
                <c:pt idx="16">
                  <c:v>8905.3679753758679</c:v>
                </c:pt>
                <c:pt idx="17">
                  <c:v>9461.9534738368602</c:v>
                </c:pt>
                <c:pt idx="18">
                  <c:v>10018.538972297853</c:v>
                </c:pt>
                <c:pt idx="19">
                  <c:v>10575.124470758845</c:v>
                </c:pt>
                <c:pt idx="20">
                  <c:v>11131.709969219837</c:v>
                </c:pt>
                <c:pt idx="21">
                  <c:v>11688.295467680829</c:v>
                </c:pt>
                <c:pt idx="22">
                  <c:v>12244.880966141822</c:v>
                </c:pt>
                <c:pt idx="23">
                  <c:v>12801.466464602814</c:v>
                </c:pt>
                <c:pt idx="24">
                  <c:v>13358.051963063806</c:v>
                </c:pt>
                <c:pt idx="25">
                  <c:v>13914.637461524799</c:v>
                </c:pt>
                <c:pt idx="26">
                  <c:v>14471.222959985791</c:v>
                </c:pt>
                <c:pt idx="27">
                  <c:v>15027.808458446782</c:v>
                </c:pt>
                <c:pt idx="28">
                  <c:v>15584.393956907772</c:v>
                </c:pt>
                <c:pt idx="29">
                  <c:v>16140.979455368763</c:v>
                </c:pt>
                <c:pt idx="30">
                  <c:v>16697.564953829751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79584"/>
        <c:axId val="115381376"/>
      </c:scatterChart>
      <c:valAx>
        <c:axId val="11537958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381376"/>
        <c:crosses val="autoZero"/>
        <c:crossBetween val="midCat"/>
      </c:valAx>
      <c:valAx>
        <c:axId val="1153813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5379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Time vs Distance Traveled Since Beginning of Pole Shift (hrs vs km)</c:v>
          </c:tx>
          <c:marker>
            <c:symbol val="none"/>
          </c:marker>
          <c:xVal>
            <c:numRef>
              <c:f>Sheet1!$L$84:$L$87</c:f>
              <c:numCache>
                <c:formatCode>0</c:formatCode>
                <c:ptCount val="4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</c:numCache>
            </c:numRef>
          </c:xVal>
          <c:yVal>
            <c:numRef>
              <c:f>Sheet1!$R$84:$R$87</c:f>
              <c:numCache>
                <c:formatCode>0.0</c:formatCode>
                <c:ptCount val="4"/>
                <c:pt idx="0">
                  <c:v>0</c:v>
                </c:pt>
                <c:pt idx="1">
                  <c:v>4.7938747240332305</c:v>
                </c:pt>
                <c:pt idx="2">
                  <c:v>6.4086728347469126</c:v>
                </c:pt>
                <c:pt idx="3">
                  <c:v>7.3935497986518879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01856"/>
        <c:axId val="115403392"/>
      </c:scatterChart>
      <c:valAx>
        <c:axId val="1154018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5403392"/>
        <c:crosses val="autoZero"/>
        <c:crossBetween val="midCat"/>
      </c:valAx>
      <c:valAx>
        <c:axId val="1154033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401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Distance vs Time Since Beginning of Pole Shift (km vs hrs)</c:v>
          </c:tx>
          <c:marker>
            <c:symbol val="none"/>
          </c:marker>
          <c:xVal>
            <c:numRef>
              <c:f>Sheet1!$R$84:$R$87</c:f>
              <c:numCache>
                <c:formatCode>0.0</c:formatCode>
                <c:ptCount val="4"/>
                <c:pt idx="0">
                  <c:v>0</c:v>
                </c:pt>
                <c:pt idx="1">
                  <c:v>4.7938747240332305</c:v>
                </c:pt>
                <c:pt idx="2">
                  <c:v>6.4086728347469126</c:v>
                </c:pt>
                <c:pt idx="3">
                  <c:v>7.3935497986518879</c:v>
                </c:pt>
              </c:numCache>
            </c:numRef>
          </c:xVal>
          <c:yVal>
            <c:numRef>
              <c:f>Sheet1!$L$84:$L$87</c:f>
              <c:numCache>
                <c:formatCode>0</c:formatCode>
                <c:ptCount val="4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50368"/>
        <c:axId val="133452160"/>
      </c:scatterChart>
      <c:valAx>
        <c:axId val="13345036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33452160"/>
        <c:crosses val="autoZero"/>
        <c:crossBetween val="midCat"/>
      </c:valAx>
      <c:valAx>
        <c:axId val="1334521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34503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442366579177598"/>
          <c:y val="5.5555555555555552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Detail: Speed vs Distance Traveled During Pole Shift (km/hr vs km from original location)</c:v>
          </c:tx>
          <c:marker>
            <c:symbol val="none"/>
          </c:marker>
          <c:xVal>
            <c:numRef>
              <c:f>Sheet1!$L$84:$L$87</c:f>
              <c:numCache>
                <c:formatCode>0</c:formatCode>
                <c:ptCount val="4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</c:numCache>
            </c:numRef>
          </c:xVal>
          <c:yVal>
            <c:numRef>
              <c:f>Sheet1!$P$84:$P$87</c:f>
              <c:numCache>
                <c:formatCode>0</c:formatCode>
                <c:ptCount val="4"/>
                <c:pt idx="0">
                  <c:v>0</c:v>
                </c:pt>
                <c:pt idx="1">
                  <c:v>120.94111637716789</c:v>
                </c:pt>
                <c:pt idx="2">
                  <c:v>238.09854130525653</c:v>
                </c:pt>
                <c:pt idx="3">
                  <c:v>350.58063603897574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84928"/>
        <c:axId val="133486464"/>
      </c:scatterChart>
      <c:valAx>
        <c:axId val="133484928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crossAx val="133486464"/>
        <c:crosses val="autoZero"/>
        <c:crossBetween val="midCat"/>
      </c:valAx>
      <c:valAx>
        <c:axId val="1334864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3484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Fractions for Correcting the Numbers Above Relative to Positions Closer to the Nave, or Hub, of a Pole Shift (fraction vs degrees from hub)</c:v>
          </c:tx>
          <c:marker>
            <c:symbol val="none"/>
          </c:marker>
          <c:xVal>
            <c:numRef>
              <c:f>Sheet1!$C$131:$C$149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</c:numCache>
            </c:numRef>
          </c:xVal>
          <c:yVal>
            <c:numRef>
              <c:f>Sheet1!$E$131:$E$149</c:f>
              <c:numCache>
                <c:formatCode>0.000</c:formatCode>
                <c:ptCount val="19"/>
                <c:pt idx="0">
                  <c:v>0</c:v>
                </c:pt>
                <c:pt idx="1">
                  <c:v>8.7155742747658166E-2</c:v>
                </c:pt>
                <c:pt idx="2">
                  <c:v>0.17364817766693033</c:v>
                </c:pt>
                <c:pt idx="3">
                  <c:v>0.25881904510252074</c:v>
                </c:pt>
                <c:pt idx="4">
                  <c:v>0.34202014332566871</c:v>
                </c:pt>
                <c:pt idx="5">
                  <c:v>0.42261826174069944</c:v>
                </c:pt>
                <c:pt idx="6">
                  <c:v>0.49999999999999994</c:v>
                </c:pt>
                <c:pt idx="7">
                  <c:v>0.57357643635104605</c:v>
                </c:pt>
                <c:pt idx="8">
                  <c:v>0.64278760968653925</c:v>
                </c:pt>
                <c:pt idx="9">
                  <c:v>0.70710678118654746</c:v>
                </c:pt>
                <c:pt idx="10">
                  <c:v>0.76604444311897801</c:v>
                </c:pt>
                <c:pt idx="11">
                  <c:v>0.8191520442889918</c:v>
                </c:pt>
                <c:pt idx="12">
                  <c:v>0.8660254037844386</c:v>
                </c:pt>
                <c:pt idx="13">
                  <c:v>0.90630778703664994</c:v>
                </c:pt>
                <c:pt idx="14">
                  <c:v>0.93969262078590832</c:v>
                </c:pt>
                <c:pt idx="15">
                  <c:v>0.96592582628906831</c:v>
                </c:pt>
                <c:pt idx="16">
                  <c:v>0.98480775301220813</c:v>
                </c:pt>
                <c:pt idx="17">
                  <c:v>0.99619469809174555</c:v>
                </c:pt>
                <c:pt idx="18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51296"/>
        <c:axId val="146152832"/>
      </c:scatterChart>
      <c:valAx>
        <c:axId val="146151296"/>
        <c:scaling>
          <c:orientation val="minMax"/>
          <c:max val="90"/>
        </c:scaling>
        <c:delete val="0"/>
        <c:axPos val="b"/>
        <c:numFmt formatCode="General" sourceLinked="1"/>
        <c:majorTickMark val="out"/>
        <c:minorTickMark val="none"/>
        <c:tickLblPos val="nextTo"/>
        <c:crossAx val="146152832"/>
        <c:crosses val="autoZero"/>
        <c:crossBetween val="midCat"/>
        <c:majorUnit val="10"/>
        <c:minorUnit val="5"/>
      </c:valAx>
      <c:valAx>
        <c:axId val="146152832"/>
        <c:scaling>
          <c:orientation val="minMax"/>
          <c:max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6151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Acceleration as Computed from the Table to the Left (m/s.sq. vs km)</c:v>
          </c:tx>
          <c:marker>
            <c:symbol val="none"/>
          </c:marker>
          <c:xVal>
            <c:numRef>
              <c:f>Sheet1!$I$84:$I$114</c:f>
              <c:numCache>
                <c:formatCode>0</c:formatCode>
                <c:ptCount val="31"/>
                <c:pt idx="0" formatCode="0.00">
                  <c:v>1666.6666666666665</c:v>
                </c:pt>
                <c:pt idx="1">
                  <c:v>2223.2521651276584</c:v>
                </c:pt>
                <c:pt idx="2">
                  <c:v>2779.8376635886498</c:v>
                </c:pt>
                <c:pt idx="3">
                  <c:v>3336.4231620496412</c:v>
                </c:pt>
                <c:pt idx="4">
                  <c:v>3893.0086605106326</c:v>
                </c:pt>
                <c:pt idx="5">
                  <c:v>4449.594158971624</c:v>
                </c:pt>
                <c:pt idx="6">
                  <c:v>5006.1796574326154</c:v>
                </c:pt>
                <c:pt idx="7">
                  <c:v>5562.7651558936068</c:v>
                </c:pt>
                <c:pt idx="8">
                  <c:v>6119.3506543545982</c:v>
                </c:pt>
                <c:pt idx="9">
                  <c:v>6675.9361528155896</c:v>
                </c:pt>
                <c:pt idx="10">
                  <c:v>7232.521651276581</c:v>
                </c:pt>
                <c:pt idx="11">
                  <c:v>7789.1071497375724</c:v>
                </c:pt>
                <c:pt idx="12">
                  <c:v>8345.6926481985647</c:v>
                </c:pt>
                <c:pt idx="13">
                  <c:v>8902.278146659557</c:v>
                </c:pt>
                <c:pt idx="14">
                  <c:v>9458.8636451205493</c:v>
                </c:pt>
                <c:pt idx="15">
                  <c:v>10015.449143581542</c:v>
                </c:pt>
                <c:pt idx="16">
                  <c:v>10572.034642042534</c:v>
                </c:pt>
                <c:pt idx="17">
                  <c:v>11128.620140503526</c:v>
                </c:pt>
                <c:pt idx="18">
                  <c:v>11685.205638964519</c:v>
                </c:pt>
                <c:pt idx="19">
                  <c:v>12241.791137425511</c:v>
                </c:pt>
                <c:pt idx="20">
                  <c:v>12798.376635886503</c:v>
                </c:pt>
                <c:pt idx="21">
                  <c:v>13354.962134347496</c:v>
                </c:pt>
                <c:pt idx="22">
                  <c:v>13911.547632808488</c:v>
                </c:pt>
                <c:pt idx="23">
                  <c:v>14468.13313126948</c:v>
                </c:pt>
                <c:pt idx="24">
                  <c:v>15024.718629730472</c:v>
                </c:pt>
                <c:pt idx="25">
                  <c:v>15581.304128191465</c:v>
                </c:pt>
                <c:pt idx="26">
                  <c:v>16137.889626652457</c:v>
                </c:pt>
                <c:pt idx="27">
                  <c:v>16694.475125113448</c:v>
                </c:pt>
                <c:pt idx="28">
                  <c:v>17251.060623574438</c:v>
                </c:pt>
                <c:pt idx="29">
                  <c:v>17807.646122035429</c:v>
                </c:pt>
                <c:pt idx="30">
                  <c:v>18364.231620496419</c:v>
                </c:pt>
              </c:numCache>
            </c:numRef>
          </c:xVal>
          <c:yVal>
            <c:numRef>
              <c:f>Sheet1!$T$84:$T$114</c:f>
              <c:numCache>
                <c:formatCode>0.000000</c:formatCode>
                <c:ptCount val="31"/>
                <c:pt idx="1">
                  <c:v>1.9466249747592853E-3</c:v>
                </c:pt>
                <c:pt idx="2">
                  <c:v>5.598176454996274E-3</c:v>
                </c:pt>
                <c:pt idx="3">
                  <c:v>8.8124448986549985E-3</c:v>
                </c:pt>
                <c:pt idx="4">
                  <c:v>1.1502428786164472E-2</c:v>
                </c:pt>
                <c:pt idx="5">
                  <c:v>1.3599009012879847E-2</c:v>
                </c:pt>
                <c:pt idx="6">
                  <c:v>1.5052953032658386E-2</c:v>
                </c:pt>
                <c:pt idx="7">
                  <c:v>1.5836300630941949E-2</c:v>
                </c:pt>
                <c:pt idx="8">
                  <c:v>1.5943090059509207E-2</c:v>
                </c:pt>
                <c:pt idx="9">
                  <c:v>1.538940340897991E-2</c:v>
                </c:pt>
                <c:pt idx="10">
                  <c:v>1.4212730873757512E-2</c:v>
                </c:pt>
                <c:pt idx="11">
                  <c:v>1.2470674345333563E-2</c:v>
                </c:pt>
                <c:pt idx="12">
                  <c:v>1.023903092165809E-2</c:v>
                </c:pt>
                <c:pt idx="13">
                  <c:v>7.6093158297134639E-3</c:v>
                </c:pt>
                <c:pt idx="14">
                  <c:v>4.6858013504386424E-3</c:v>
                </c:pt>
                <c:pt idx="15">
                  <c:v>1.5821630899645941E-3</c:v>
                </c:pt>
                <c:pt idx="16">
                  <c:v>-1.5821630899645941E-3</c:v>
                </c:pt>
                <c:pt idx="17">
                  <c:v>-4.6858013504387005E-3</c:v>
                </c:pt>
                <c:pt idx="18">
                  <c:v>-7.6093158297134075E-3</c:v>
                </c:pt>
                <c:pt idx="19">
                  <c:v>-1.023903092165809E-2</c:v>
                </c:pt>
                <c:pt idx="20">
                  <c:v>-1.2470674345333563E-2</c:v>
                </c:pt>
                <c:pt idx="21">
                  <c:v>-1.4212730873757464E-2</c:v>
                </c:pt>
                <c:pt idx="22">
                  <c:v>-1.5389403408979888E-2</c:v>
                </c:pt>
                <c:pt idx="23">
                  <c:v>-1.5943090059509196E-2</c:v>
                </c:pt>
                <c:pt idx="24">
                  <c:v>-1.5836300630941862E-2</c:v>
                </c:pt>
                <c:pt idx="25">
                  <c:v>-1.5052953032658353E-2</c:v>
                </c:pt>
                <c:pt idx="26">
                  <c:v>-1.3599009012879909E-2</c:v>
                </c:pt>
                <c:pt idx="27">
                  <c:v>-1.1502428786164485E-2</c:v>
                </c:pt>
                <c:pt idx="28">
                  <c:v>-8.8124448986550055E-3</c:v>
                </c:pt>
                <c:pt idx="29">
                  <c:v>-5.5981764549962948E-3</c:v>
                </c:pt>
                <c:pt idx="30">
                  <c:v>-1.9466249747592799E-3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81504"/>
        <c:axId val="146183296"/>
      </c:scatterChart>
      <c:valAx>
        <c:axId val="1461815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46183296"/>
        <c:crosses val="autoZero"/>
        <c:crossBetween val="midCat"/>
      </c:valAx>
      <c:valAx>
        <c:axId val="14618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181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Acceleration vs Distance Traveled Since Beginning of a Pole Shift (meters/sec.sq. vs km)</c:v>
          </c:tx>
          <c:marker>
            <c:symbol val="none"/>
          </c:marker>
          <c:xVal>
            <c:numRef>
              <c:f>Sheet1!$L$84:$L$114</c:f>
              <c:numCache>
                <c:formatCode>0</c:formatCode>
                <c:ptCount val="31"/>
                <c:pt idx="0">
                  <c:v>0</c:v>
                </c:pt>
                <c:pt idx="1">
                  <c:v>556.58549846099186</c:v>
                </c:pt>
                <c:pt idx="2">
                  <c:v>1113.1709969219833</c:v>
                </c:pt>
                <c:pt idx="3">
                  <c:v>1669.7564953829747</c:v>
                </c:pt>
                <c:pt idx="4">
                  <c:v>2226.3419938439661</c:v>
                </c:pt>
                <c:pt idx="5">
                  <c:v>2782.9274923049575</c:v>
                </c:pt>
                <c:pt idx="6">
                  <c:v>3339.5129907659489</c:v>
                </c:pt>
                <c:pt idx="7">
                  <c:v>3896.0984892269403</c:v>
                </c:pt>
                <c:pt idx="8">
                  <c:v>4452.6839876879312</c:v>
                </c:pt>
                <c:pt idx="9">
                  <c:v>5009.2694861489235</c:v>
                </c:pt>
                <c:pt idx="10">
                  <c:v>5565.854984609914</c:v>
                </c:pt>
                <c:pt idx="11">
                  <c:v>6122.4404830709063</c:v>
                </c:pt>
                <c:pt idx="12">
                  <c:v>6679.0259815318987</c:v>
                </c:pt>
                <c:pt idx="13">
                  <c:v>7235.611479992891</c:v>
                </c:pt>
                <c:pt idx="14">
                  <c:v>7792.1969784538833</c:v>
                </c:pt>
                <c:pt idx="15">
                  <c:v>8348.7824769148756</c:v>
                </c:pt>
                <c:pt idx="16">
                  <c:v>8905.3679753758679</c:v>
                </c:pt>
                <c:pt idx="17">
                  <c:v>9461.9534738368602</c:v>
                </c:pt>
                <c:pt idx="18">
                  <c:v>10018.538972297853</c:v>
                </c:pt>
                <c:pt idx="19">
                  <c:v>10575.124470758845</c:v>
                </c:pt>
                <c:pt idx="20">
                  <c:v>11131.709969219837</c:v>
                </c:pt>
                <c:pt idx="21">
                  <c:v>11688.295467680829</c:v>
                </c:pt>
                <c:pt idx="22">
                  <c:v>12244.880966141822</c:v>
                </c:pt>
                <c:pt idx="23">
                  <c:v>12801.466464602814</c:v>
                </c:pt>
                <c:pt idx="24">
                  <c:v>13358.051963063806</c:v>
                </c:pt>
                <c:pt idx="25">
                  <c:v>13914.637461524799</c:v>
                </c:pt>
                <c:pt idx="26">
                  <c:v>14471.222959985791</c:v>
                </c:pt>
                <c:pt idx="27">
                  <c:v>15027.808458446782</c:v>
                </c:pt>
                <c:pt idx="28">
                  <c:v>15584.393956907772</c:v>
                </c:pt>
                <c:pt idx="29">
                  <c:v>16140.979455368763</c:v>
                </c:pt>
                <c:pt idx="30">
                  <c:v>16697.564953829751</c:v>
                </c:pt>
              </c:numCache>
            </c:numRef>
          </c:xVal>
          <c:yVal>
            <c:numRef>
              <c:f>Sheet1!$V$84:$V$114</c:f>
              <c:numCache>
                <c:formatCode>0.0000</c:formatCode>
                <c:ptCount val="31"/>
                <c:pt idx="0">
                  <c:v>1.9466249747592855E-3</c:v>
                </c:pt>
                <c:pt idx="1">
                  <c:v>1.728107034358371E-3</c:v>
                </c:pt>
                <c:pt idx="2">
                  <c:v>1.5164255155759477E-3</c:v>
                </c:pt>
                <c:pt idx="3">
                  <c:v>1.3131914425867459E-3</c:v>
                </c:pt>
                <c:pt idx="4">
                  <c:v>1.1199515494023018E-3</c:v>
                </c:pt>
                <c:pt idx="5">
                  <c:v>9.3817650829118647E-4</c:v>
                </c:pt>
                <c:pt idx="6">
                  <c:v>7.692497370750264E-4</c:v>
                </c:pt>
                <c:pt idx="7">
                  <c:v>6.1445687048354959E-4</c:v>
                </c:pt>
                <c:pt idx="8">
                  <c:v>4.7497597569800561E-4</c:v>
                </c:pt>
                <c:pt idx="9">
                  <c:v>3.5186858654857975E-4</c:v>
                </c:pt>
                <c:pt idx="10">
                  <c:v>2.4607162460097261E-4</c:v>
                </c:pt>
                <c:pt idx="11">
                  <c:v>1.58390268617558E-4</c:v>
                </c:pt>
                <c:pt idx="12">
                  <c:v>8.949182666081951E-5</c:v>
                </c:pt>
                <c:pt idx="13">
                  <c:v>3.9900657476065101E-5</c:v>
                </c:pt>
                <c:pt idx="14">
                  <c:v>9.9941798047575286E-6</c:v>
                </c:pt>
                <c:pt idx="15">
                  <c:v>0</c:v>
                </c:pt>
                <c:pt idx="16">
                  <c:v>-9.9941798047575286E-6</c:v>
                </c:pt>
                <c:pt idx="17">
                  <c:v>-3.9900657476065386E-5</c:v>
                </c:pt>
                <c:pt idx="18">
                  <c:v>-8.949182666081951E-5</c:v>
                </c:pt>
                <c:pt idx="19">
                  <c:v>-1.583902686175577E-4</c:v>
                </c:pt>
                <c:pt idx="20">
                  <c:v>-2.4607162460097288E-4</c:v>
                </c:pt>
                <c:pt idx="21">
                  <c:v>-3.5186858654857943E-4</c:v>
                </c:pt>
                <c:pt idx="22">
                  <c:v>-4.7497597569800501E-4</c:v>
                </c:pt>
                <c:pt idx="23">
                  <c:v>-6.1445687048354959E-4</c:v>
                </c:pt>
                <c:pt idx="24">
                  <c:v>-7.6924973707502608E-4</c:v>
                </c:pt>
                <c:pt idx="25">
                  <c:v>-9.3817650829118593E-4</c:v>
                </c:pt>
                <c:pt idx="26">
                  <c:v>-1.119951549402302E-3</c:v>
                </c:pt>
                <c:pt idx="27">
                  <c:v>-1.3131914425867459E-3</c:v>
                </c:pt>
                <c:pt idx="28">
                  <c:v>-1.5164255155759477E-3</c:v>
                </c:pt>
                <c:pt idx="29">
                  <c:v>-1.7281070343583714E-3</c:v>
                </c:pt>
                <c:pt idx="30">
                  <c:v>-1.9466249747592855E-3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99680"/>
        <c:axId val="146201216"/>
      </c:scatterChart>
      <c:valAx>
        <c:axId val="146199680"/>
        <c:scaling>
          <c:orientation val="minMax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146201216"/>
        <c:crosses val="autoZero"/>
        <c:crossBetween val="midCat"/>
      </c:valAx>
      <c:valAx>
        <c:axId val="146201216"/>
        <c:scaling>
          <c:orientation val="minMax"/>
          <c:max val="2.0000000000000005E-3"/>
          <c:min val="-2.0000000000000005E-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46199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14</xdr:row>
      <xdr:rowOff>95250</xdr:rowOff>
    </xdr:from>
    <xdr:to>
      <xdr:col>23</xdr:col>
      <xdr:colOff>28575</xdr:colOff>
      <xdr:row>28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590550</xdr:colOff>
      <xdr:row>49</xdr:row>
      <xdr:rowOff>57150</xdr:rowOff>
    </xdr:from>
    <xdr:to>
      <xdr:col>27</xdr:col>
      <xdr:colOff>95250</xdr:colOff>
      <xdr:row>63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428625</xdr:colOff>
      <xdr:row>49</xdr:row>
      <xdr:rowOff>85725</xdr:rowOff>
    </xdr:from>
    <xdr:to>
      <xdr:col>43</xdr:col>
      <xdr:colOff>123825</xdr:colOff>
      <xdr:row>63</xdr:row>
      <xdr:rowOff>161925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400050</xdr:colOff>
      <xdr:row>49</xdr:row>
      <xdr:rowOff>66675</xdr:rowOff>
    </xdr:from>
    <xdr:to>
      <xdr:col>35</xdr:col>
      <xdr:colOff>95250</xdr:colOff>
      <xdr:row>63</xdr:row>
      <xdr:rowOff>142875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419100</xdr:colOff>
      <xdr:row>49</xdr:row>
      <xdr:rowOff>76200</xdr:rowOff>
    </xdr:from>
    <xdr:to>
      <xdr:col>51</xdr:col>
      <xdr:colOff>114300</xdr:colOff>
      <xdr:row>63</xdr:row>
      <xdr:rowOff>152400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85725</xdr:colOff>
      <xdr:row>14</xdr:row>
      <xdr:rowOff>95250</xdr:rowOff>
    </xdr:from>
    <xdr:to>
      <xdr:col>46</xdr:col>
      <xdr:colOff>390525</xdr:colOff>
      <xdr:row>28</xdr:row>
      <xdr:rowOff>171450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257175</xdr:colOff>
      <xdr:row>131</xdr:row>
      <xdr:rowOff>114300</xdr:rowOff>
    </xdr:from>
    <xdr:to>
      <xdr:col>14</xdr:col>
      <xdr:colOff>152400</xdr:colOff>
      <xdr:row>146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552450</xdr:colOff>
      <xdr:row>99</xdr:row>
      <xdr:rowOff>19050</xdr:rowOff>
    </xdr:from>
    <xdr:to>
      <xdr:col>32</xdr:col>
      <xdr:colOff>247650</xdr:colOff>
      <xdr:row>113</xdr:row>
      <xdr:rowOff>95250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571500</xdr:colOff>
      <xdr:row>81</xdr:row>
      <xdr:rowOff>57150</xdr:rowOff>
    </xdr:from>
    <xdr:to>
      <xdr:col>32</xdr:col>
      <xdr:colOff>266700</xdr:colOff>
      <xdr:row>96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0</xdr:colOff>
      <xdr:row>99</xdr:row>
      <xdr:rowOff>9525</xdr:rowOff>
    </xdr:from>
    <xdr:to>
      <xdr:col>40</xdr:col>
      <xdr:colOff>304800</xdr:colOff>
      <xdr:row>113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466725</xdr:colOff>
      <xdr:row>154</xdr:row>
      <xdr:rowOff>66675</xdr:rowOff>
    </xdr:from>
    <xdr:to>
      <xdr:col>28</xdr:col>
      <xdr:colOff>161925</xdr:colOff>
      <xdr:row>168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47625</xdr:colOff>
      <xdr:row>186</xdr:row>
      <xdr:rowOff>28575</xdr:rowOff>
    </xdr:from>
    <xdr:to>
      <xdr:col>25</xdr:col>
      <xdr:colOff>161925</xdr:colOff>
      <xdr:row>199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0</xdr:colOff>
      <xdr:row>171</xdr:row>
      <xdr:rowOff>28575</xdr:rowOff>
    </xdr:from>
    <xdr:to>
      <xdr:col>25</xdr:col>
      <xdr:colOff>114300</xdr:colOff>
      <xdr:row>184</xdr:row>
      <xdr:rowOff>171450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47625</xdr:colOff>
      <xdr:row>201</xdr:row>
      <xdr:rowOff>66675</xdr:rowOff>
    </xdr:from>
    <xdr:to>
      <xdr:col>25</xdr:col>
      <xdr:colOff>161925</xdr:colOff>
      <xdr:row>215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533400</xdr:colOff>
      <xdr:row>154</xdr:row>
      <xdr:rowOff>19050</xdr:rowOff>
    </xdr:from>
    <xdr:to>
      <xdr:col>36</xdr:col>
      <xdr:colOff>228600</xdr:colOff>
      <xdr:row>167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171</xdr:row>
      <xdr:rowOff>0</xdr:rowOff>
    </xdr:from>
    <xdr:to>
      <xdr:col>36</xdr:col>
      <xdr:colOff>304800</xdr:colOff>
      <xdr:row>184</xdr:row>
      <xdr:rowOff>142875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200025</xdr:colOff>
      <xdr:row>14</xdr:row>
      <xdr:rowOff>104775</xdr:rowOff>
    </xdr:from>
    <xdr:to>
      <xdr:col>30</xdr:col>
      <xdr:colOff>504825</xdr:colOff>
      <xdr:row>28</xdr:row>
      <xdr:rowOff>180975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104775</xdr:colOff>
      <xdr:row>14</xdr:row>
      <xdr:rowOff>95250</xdr:rowOff>
    </xdr:from>
    <xdr:to>
      <xdr:col>38</xdr:col>
      <xdr:colOff>409575</xdr:colOff>
      <xdr:row>28</xdr:row>
      <xdr:rowOff>171450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55</xdr:col>
      <xdr:colOff>200025</xdr:colOff>
      <xdr:row>31</xdr:row>
      <xdr:rowOff>47625</xdr:rowOff>
    </xdr:from>
    <xdr:to>
      <xdr:col>62</xdr:col>
      <xdr:colOff>504825</xdr:colOff>
      <xdr:row>45</xdr:row>
      <xdr:rowOff>123825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63</xdr:col>
      <xdr:colOff>180975</xdr:colOff>
      <xdr:row>31</xdr:row>
      <xdr:rowOff>28575</xdr:rowOff>
    </xdr:from>
    <xdr:to>
      <xdr:col>70</xdr:col>
      <xdr:colOff>485775</xdr:colOff>
      <xdr:row>45</xdr:row>
      <xdr:rowOff>104775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247650</xdr:colOff>
      <xdr:row>31</xdr:row>
      <xdr:rowOff>28575</xdr:rowOff>
    </xdr:from>
    <xdr:to>
      <xdr:col>23</xdr:col>
      <xdr:colOff>0</xdr:colOff>
      <xdr:row>45</xdr:row>
      <xdr:rowOff>104775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23</xdr:col>
      <xdr:colOff>228600</xdr:colOff>
      <xdr:row>31</xdr:row>
      <xdr:rowOff>38100</xdr:rowOff>
    </xdr:from>
    <xdr:to>
      <xdr:col>30</xdr:col>
      <xdr:colOff>533400</xdr:colOff>
      <xdr:row>45</xdr:row>
      <xdr:rowOff>114300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31</xdr:col>
      <xdr:colOff>95250</xdr:colOff>
      <xdr:row>31</xdr:row>
      <xdr:rowOff>28575</xdr:rowOff>
    </xdr:from>
    <xdr:to>
      <xdr:col>38</xdr:col>
      <xdr:colOff>400050</xdr:colOff>
      <xdr:row>45</xdr:row>
      <xdr:rowOff>104775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39</xdr:col>
      <xdr:colOff>104775</xdr:colOff>
      <xdr:row>31</xdr:row>
      <xdr:rowOff>28575</xdr:rowOff>
    </xdr:from>
    <xdr:to>
      <xdr:col>46</xdr:col>
      <xdr:colOff>409575</xdr:colOff>
      <xdr:row>45</xdr:row>
      <xdr:rowOff>104775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47</xdr:col>
      <xdr:colOff>228600</xdr:colOff>
      <xdr:row>31</xdr:row>
      <xdr:rowOff>38100</xdr:rowOff>
    </xdr:from>
    <xdr:to>
      <xdr:col>54</xdr:col>
      <xdr:colOff>533400</xdr:colOff>
      <xdr:row>45</xdr:row>
      <xdr:rowOff>114300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19</xdr:col>
      <xdr:colOff>619125</xdr:colOff>
      <xdr:row>65</xdr:row>
      <xdr:rowOff>57150</xdr:rowOff>
    </xdr:from>
    <xdr:to>
      <xdr:col>27</xdr:col>
      <xdr:colOff>123825</xdr:colOff>
      <xdr:row>79</xdr:row>
      <xdr:rowOff>123825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400050</xdr:colOff>
      <xdr:row>65</xdr:row>
      <xdr:rowOff>47625</xdr:rowOff>
    </xdr:from>
    <xdr:to>
      <xdr:col>35</xdr:col>
      <xdr:colOff>95250</xdr:colOff>
      <xdr:row>79</xdr:row>
      <xdr:rowOff>114300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457200</xdr:colOff>
      <xdr:row>65</xdr:row>
      <xdr:rowOff>38100</xdr:rowOff>
    </xdr:from>
    <xdr:to>
      <xdr:col>43</xdr:col>
      <xdr:colOff>152400</xdr:colOff>
      <xdr:row>79</xdr:row>
      <xdr:rowOff>104775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43</xdr:col>
      <xdr:colOff>409575</xdr:colOff>
      <xdr:row>65</xdr:row>
      <xdr:rowOff>19050</xdr:rowOff>
    </xdr:from>
    <xdr:to>
      <xdr:col>51</xdr:col>
      <xdr:colOff>104775</xdr:colOff>
      <xdr:row>79</xdr:row>
      <xdr:rowOff>85725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S297"/>
  <sheetViews>
    <sheetView tabSelected="1" topLeftCell="A173" workbookViewId="0">
      <selection activeCell="W277" sqref="W277"/>
    </sheetView>
  </sheetViews>
  <sheetFormatPr defaultRowHeight="15" x14ac:dyDescent="0.25"/>
  <cols>
    <col min="1" max="1" width="24" customWidth="1"/>
    <col min="2" max="2" width="11.5703125" bestFit="1" customWidth="1"/>
    <col min="3" max="3" width="9.5703125" bestFit="1" customWidth="1"/>
    <col min="4" max="4" width="9.42578125" bestFit="1" customWidth="1"/>
    <col min="5" max="6" width="13.5703125" customWidth="1"/>
    <col min="8" max="8" width="12.28515625" customWidth="1"/>
    <col min="9" max="9" width="12.42578125" customWidth="1"/>
    <col min="10" max="10" width="13.28515625" customWidth="1"/>
    <col min="11" max="12" width="13.7109375" customWidth="1"/>
    <col min="13" max="13" width="18.85546875" bestFit="1" customWidth="1"/>
    <col min="14" max="14" width="14.85546875" customWidth="1"/>
    <col min="15" max="15" width="21" customWidth="1"/>
    <col min="16" max="16" width="17.28515625" customWidth="1"/>
    <col min="17" max="17" width="14.5703125" customWidth="1"/>
    <col min="20" max="20" width="12" bestFit="1" customWidth="1"/>
  </cols>
  <sheetData>
    <row r="7" spans="1:47" x14ac:dyDescent="0.25">
      <c r="A7" t="s">
        <v>0</v>
      </c>
      <c r="E7" t="s">
        <v>21</v>
      </c>
      <c r="K7" t="s">
        <v>29</v>
      </c>
    </row>
    <row r="8" spans="1:47" x14ac:dyDescent="0.25">
      <c r="B8" t="s">
        <v>10</v>
      </c>
      <c r="C8" t="s">
        <v>12</v>
      </c>
      <c r="E8" t="s">
        <v>10</v>
      </c>
      <c r="K8" t="s">
        <v>10</v>
      </c>
    </row>
    <row r="9" spans="1:47" x14ac:dyDescent="0.25">
      <c r="A9" t="s">
        <v>1</v>
      </c>
      <c r="B9">
        <v>31</v>
      </c>
      <c r="C9">
        <v>46</v>
      </c>
      <c r="D9" t="s">
        <v>15</v>
      </c>
      <c r="E9">
        <v>58.59</v>
      </c>
      <c r="K9">
        <v>0</v>
      </c>
      <c r="R9" s="3" t="s">
        <v>32</v>
      </c>
      <c r="S9" s="3"/>
      <c r="T9" s="3"/>
      <c r="U9" s="3"/>
      <c r="V9" s="3" t="s">
        <v>40</v>
      </c>
      <c r="W9" s="3"/>
      <c r="X9" s="3" t="s">
        <v>46</v>
      </c>
      <c r="Y9" s="3"/>
    </row>
    <row r="10" spans="1:47" x14ac:dyDescent="0.25">
      <c r="B10">
        <v>35</v>
      </c>
      <c r="C10">
        <v>14</v>
      </c>
      <c r="D10" t="s">
        <v>16</v>
      </c>
      <c r="R10" s="3" t="s">
        <v>33</v>
      </c>
      <c r="S10" s="3"/>
      <c r="T10" s="3" t="s">
        <v>35</v>
      </c>
      <c r="U10" s="3"/>
      <c r="V10" s="3" t="s">
        <v>42</v>
      </c>
      <c r="W10" s="3"/>
      <c r="X10" s="3"/>
      <c r="Y10" s="3"/>
    </row>
    <row r="11" spans="1:47" x14ac:dyDescent="0.25">
      <c r="A11" t="s">
        <v>2</v>
      </c>
      <c r="B11">
        <v>14</v>
      </c>
      <c r="C11">
        <v>9</v>
      </c>
      <c r="D11" t="s">
        <v>17</v>
      </c>
      <c r="E11">
        <v>75.41</v>
      </c>
      <c r="G11">
        <v>70.45</v>
      </c>
      <c r="K11">
        <v>60</v>
      </c>
      <c r="M11" t="s">
        <v>15</v>
      </c>
      <c r="N11">
        <v>70</v>
      </c>
      <c r="O11" t="s">
        <v>18</v>
      </c>
      <c r="R11" s="2" t="s">
        <v>32</v>
      </c>
      <c r="S11" s="2"/>
      <c r="T11" s="3" t="s">
        <v>36</v>
      </c>
      <c r="U11" s="3"/>
      <c r="V11" s="2" t="s">
        <v>41</v>
      </c>
      <c r="W11" s="2"/>
      <c r="X11" s="2" t="s">
        <v>47</v>
      </c>
      <c r="Y11" s="2"/>
    </row>
    <row r="12" spans="1:47" x14ac:dyDescent="0.25">
      <c r="B12">
        <v>27</v>
      </c>
      <c r="C12">
        <v>13</v>
      </c>
      <c r="D12" t="s">
        <v>16</v>
      </c>
      <c r="E12">
        <v>42</v>
      </c>
      <c r="G12">
        <v>18.52</v>
      </c>
      <c r="H12" t="s">
        <v>16</v>
      </c>
      <c r="R12" s="2" t="s">
        <v>33</v>
      </c>
      <c r="S12" s="2"/>
      <c r="T12" s="2" t="s">
        <v>37</v>
      </c>
      <c r="U12" s="2"/>
      <c r="V12" s="2" t="s">
        <v>43</v>
      </c>
      <c r="W12" s="2"/>
      <c r="X12" s="2" t="s">
        <v>48</v>
      </c>
      <c r="Y12" s="2"/>
      <c r="Z12" s="4" t="s">
        <v>50</v>
      </c>
      <c r="AA12" s="4"/>
      <c r="AB12" s="4"/>
      <c r="AC12" s="3" t="s">
        <v>52</v>
      </c>
      <c r="AD12" s="3"/>
      <c r="AE12" s="3"/>
      <c r="AF12" s="3"/>
      <c r="AG12" s="3"/>
      <c r="AH12" s="3"/>
    </row>
    <row r="13" spans="1:47" x14ac:dyDescent="0.25">
      <c r="A13" t="s">
        <v>3</v>
      </c>
      <c r="B13">
        <v>50</v>
      </c>
      <c r="C13">
        <v>9</v>
      </c>
      <c r="D13" t="s">
        <v>15</v>
      </c>
      <c r="G13">
        <v>42.55</v>
      </c>
      <c r="K13">
        <v>72</v>
      </c>
      <c r="M13" t="s">
        <v>15</v>
      </c>
      <c r="N13">
        <v>10</v>
      </c>
      <c r="O13" t="s">
        <v>16</v>
      </c>
      <c r="P13" t="s">
        <v>30</v>
      </c>
      <c r="R13" s="2" t="s">
        <v>34</v>
      </c>
      <c r="S13" s="2"/>
      <c r="T13" s="2" t="s">
        <v>38</v>
      </c>
      <c r="U13" s="2"/>
      <c r="V13" s="2" t="s">
        <v>44</v>
      </c>
      <c r="W13" s="2"/>
      <c r="X13" s="4" t="s">
        <v>49</v>
      </c>
      <c r="Y13" s="4"/>
      <c r="Z13" s="4" t="s">
        <v>32</v>
      </c>
      <c r="AA13" s="4"/>
      <c r="AB13" s="4"/>
      <c r="AC13" s="4" t="s">
        <v>51</v>
      </c>
      <c r="AD13" s="4"/>
      <c r="AE13" s="3" t="s">
        <v>53</v>
      </c>
      <c r="AF13" s="3"/>
      <c r="AG13" s="3" t="s">
        <v>49</v>
      </c>
      <c r="AH13" s="3"/>
    </row>
    <row r="14" spans="1:47" x14ac:dyDescent="0.25">
      <c r="B14">
        <v>129</v>
      </c>
      <c r="C14">
        <v>21</v>
      </c>
      <c r="D14" t="s">
        <v>18</v>
      </c>
      <c r="Q14" s="4"/>
      <c r="R14" s="4" t="s">
        <v>33</v>
      </c>
      <c r="S14" s="4"/>
      <c r="T14" s="4" t="s">
        <v>39</v>
      </c>
      <c r="U14" s="4"/>
      <c r="V14" s="4" t="s">
        <v>45</v>
      </c>
      <c r="W14" s="4"/>
      <c r="X14" s="4"/>
      <c r="Y14" s="4"/>
      <c r="Z14" s="4"/>
      <c r="AA14" s="4"/>
      <c r="AB14" s="4"/>
      <c r="AC14" s="4"/>
      <c r="AD14" s="4"/>
      <c r="AE14" s="4"/>
      <c r="AF14" s="4" t="s">
        <v>116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t="s">
        <v>4</v>
      </c>
      <c r="B15">
        <v>4</v>
      </c>
      <c r="C15">
        <f>90-G15</f>
        <v>4.9099999999999966</v>
      </c>
      <c r="D15" t="s">
        <v>17</v>
      </c>
      <c r="G15">
        <v>85.09</v>
      </c>
      <c r="K15">
        <v>63</v>
      </c>
      <c r="M15" t="s">
        <v>15</v>
      </c>
      <c r="N15">
        <v>135</v>
      </c>
      <c r="O15" t="s">
        <v>18</v>
      </c>
      <c r="P15" t="s">
        <v>31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71" x14ac:dyDescent="0.25"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71" x14ac:dyDescent="0.25"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71" x14ac:dyDescent="0.25">
      <c r="B19" t="s">
        <v>11</v>
      </c>
      <c r="H19" t="s">
        <v>22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71" x14ac:dyDescent="0.25">
      <c r="B20" t="s">
        <v>10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71" x14ac:dyDescent="0.25">
      <c r="A21" t="s">
        <v>1</v>
      </c>
      <c r="C21" t="s">
        <v>13</v>
      </c>
      <c r="D21" t="s">
        <v>19</v>
      </c>
      <c r="H21" t="s">
        <v>23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71" x14ac:dyDescent="0.25">
      <c r="A22" s="1" t="s">
        <v>5</v>
      </c>
      <c r="B22">
        <v>150</v>
      </c>
      <c r="C22" t="s">
        <v>14</v>
      </c>
      <c r="D22" t="s">
        <v>20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71" x14ac:dyDescent="0.25">
      <c r="A23" t="s">
        <v>2</v>
      </c>
      <c r="H23" t="s">
        <v>24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71" x14ac:dyDescent="0.25">
      <c r="A24" s="1" t="s">
        <v>6</v>
      </c>
      <c r="B24">
        <v>145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71" x14ac:dyDescent="0.25">
      <c r="A25" t="s">
        <v>3</v>
      </c>
      <c r="H25" t="s">
        <v>25</v>
      </c>
      <c r="N25">
        <f>26/60</f>
        <v>0.43333333333333335</v>
      </c>
      <c r="O25">
        <f>23+N25</f>
        <v>23.433333333333334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71" x14ac:dyDescent="0.25">
      <c r="A26" s="1" t="s">
        <v>7</v>
      </c>
      <c r="B26">
        <v>135</v>
      </c>
      <c r="H26" t="s">
        <v>26</v>
      </c>
      <c r="O26">
        <f>N25*35</f>
        <v>15.166666666666668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71" x14ac:dyDescent="0.25">
      <c r="A27" t="s">
        <v>8</v>
      </c>
      <c r="H27" t="s">
        <v>27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71" x14ac:dyDescent="0.25">
      <c r="A28" s="1" t="s">
        <v>9</v>
      </c>
      <c r="H28" t="s">
        <v>28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71" x14ac:dyDescent="0.25"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71" x14ac:dyDescent="0.25"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71" x14ac:dyDescent="0.25"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</row>
    <row r="32" spans="1:71" x14ac:dyDescent="0.2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</row>
    <row r="33" spans="2:71" x14ac:dyDescent="0.25"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</row>
    <row r="34" spans="2:71" x14ac:dyDescent="0.25"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</row>
    <row r="35" spans="2:71" x14ac:dyDescent="0.25"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</row>
    <row r="36" spans="2:71" x14ac:dyDescent="0.25"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</row>
    <row r="37" spans="2:71" x14ac:dyDescent="0.25"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</row>
    <row r="38" spans="2:71" x14ac:dyDescent="0.25"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</row>
    <row r="39" spans="2:71" x14ac:dyDescent="0.25"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</row>
    <row r="40" spans="2:71" x14ac:dyDescent="0.25"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</row>
    <row r="41" spans="2:71" x14ac:dyDescent="0.25"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</row>
    <row r="42" spans="2:71" x14ac:dyDescent="0.25"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</row>
    <row r="43" spans="2:71" x14ac:dyDescent="0.25"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</row>
    <row r="44" spans="2:71" x14ac:dyDescent="0.25">
      <c r="B44" t="s">
        <v>54</v>
      </c>
      <c r="G44" s="1" t="s">
        <v>59</v>
      </c>
      <c r="K44" s="6">
        <f>K46/(K47^2)</f>
        <v>4.4653063557384548E-3</v>
      </c>
      <c r="L44" s="6"/>
      <c r="M44" t="s">
        <v>58</v>
      </c>
      <c r="N44" t="s">
        <v>117</v>
      </c>
      <c r="P44" s="35">
        <f>K44*2</f>
        <v>8.9306127114769096E-3</v>
      </c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</row>
    <row r="45" spans="2:71" x14ac:dyDescent="0.25">
      <c r="P45" s="33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</row>
    <row r="46" spans="2:71" x14ac:dyDescent="0.25">
      <c r="B46" t="s">
        <v>55</v>
      </c>
      <c r="K46">
        <f>(2*(10^7)/2)*(150/180)</f>
        <v>8333333.333333334</v>
      </c>
      <c r="M46" t="s">
        <v>56</v>
      </c>
      <c r="N46" t="s">
        <v>118</v>
      </c>
      <c r="P46" s="33">
        <v>9.81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</row>
    <row r="47" spans="2:71" x14ac:dyDescent="0.25">
      <c r="B47" t="s">
        <v>63</v>
      </c>
      <c r="K47">
        <f>12*3600</f>
        <v>43200</v>
      </c>
      <c r="M47" t="s">
        <v>57</v>
      </c>
    </row>
    <row r="48" spans="2:71" x14ac:dyDescent="0.25">
      <c r="O48" t="s">
        <v>60</v>
      </c>
      <c r="P48" s="5">
        <f>P44/P46</f>
        <v>9.1035807456441476E-4</v>
      </c>
      <c r="Q48" s="9" t="s">
        <v>61</v>
      </c>
      <c r="R48" s="7">
        <f>P48*100</f>
        <v>9.1035807456441478E-2</v>
      </c>
      <c r="S48" t="s">
        <v>62</v>
      </c>
    </row>
    <row r="49" spans="3:52" x14ac:dyDescent="0.25"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3:52" x14ac:dyDescent="0.25">
      <c r="C50" t="s">
        <v>64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3:52" x14ac:dyDescent="0.25"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3:52" x14ac:dyDescent="0.25">
      <c r="M52" t="s">
        <v>65</v>
      </c>
      <c r="O52" s="10">
        <f>(P48/2)*(10^7)</f>
        <v>4551.7903728220736</v>
      </c>
      <c r="P52" t="s">
        <v>68</v>
      </c>
      <c r="Q52" s="9" t="s">
        <v>61</v>
      </c>
      <c r="R52" s="8">
        <f>O52/10^3</f>
        <v>4.5517903728220732</v>
      </c>
      <c r="S52" t="s">
        <v>69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3:52" x14ac:dyDescent="0.25">
      <c r="M53" t="s">
        <v>66</v>
      </c>
      <c r="O53" s="10">
        <f>(P48/2)*(10^6)</f>
        <v>455.17903728220739</v>
      </c>
      <c r="P53" t="s">
        <v>68</v>
      </c>
      <c r="Q53" s="9" t="s">
        <v>61</v>
      </c>
      <c r="R53" s="8">
        <f>O53/10^3</f>
        <v>0.45517903728220738</v>
      </c>
      <c r="S53" t="s">
        <v>69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3:52" x14ac:dyDescent="0.25">
      <c r="M54" t="s">
        <v>67</v>
      </c>
      <c r="O54" s="10">
        <f>(P48/2)*(2*(10^3))</f>
        <v>0.91035807456441475</v>
      </c>
      <c r="P54" t="s">
        <v>68</v>
      </c>
      <c r="Q54" s="9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3:52" x14ac:dyDescent="0.25"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3:52" x14ac:dyDescent="0.25"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3:52" x14ac:dyDescent="0.25"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3:52" x14ac:dyDescent="0.25"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3:52" x14ac:dyDescent="0.25"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3:52" x14ac:dyDescent="0.25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3:52" x14ac:dyDescent="0.25"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3:52" x14ac:dyDescent="0.25">
      <c r="H62" s="11" t="s">
        <v>72</v>
      </c>
      <c r="I62" s="11"/>
      <c r="J62">
        <f>J63*1000</f>
        <v>16656000</v>
      </c>
      <c r="K62" t="s">
        <v>56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3:52" x14ac:dyDescent="0.25">
      <c r="H63" s="11"/>
      <c r="I63" s="11"/>
      <c r="J63">
        <v>16656</v>
      </c>
      <c r="K63" t="s">
        <v>69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3:52" x14ac:dyDescent="0.25">
      <c r="H64" s="11"/>
      <c r="I64" s="11"/>
      <c r="J64">
        <v>10350</v>
      </c>
      <c r="K64" t="s">
        <v>70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8:52" x14ac:dyDescent="0.25">
      <c r="H65" s="11"/>
      <c r="I65" s="11"/>
      <c r="J65" s="10">
        <v>149.63</v>
      </c>
      <c r="K65" t="s">
        <v>71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8:52" x14ac:dyDescent="0.25">
      <c r="H66" s="11"/>
      <c r="I66" s="11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</row>
    <row r="67" spans="8:52" x14ac:dyDescent="0.25">
      <c r="H67" s="11" t="s">
        <v>73</v>
      </c>
      <c r="I67" s="11"/>
      <c r="J67">
        <v>24</v>
      </c>
      <c r="K67" t="s">
        <v>74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</row>
    <row r="68" spans="8:52" x14ac:dyDescent="0.25">
      <c r="H68" s="11"/>
      <c r="I68" s="11"/>
      <c r="J68">
        <f>J67*60</f>
        <v>1440</v>
      </c>
      <c r="K68" t="s">
        <v>75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8:52" x14ac:dyDescent="0.25">
      <c r="H69" s="11"/>
      <c r="I69" s="11"/>
      <c r="J69">
        <f>J68*60</f>
        <v>86400</v>
      </c>
      <c r="K69" t="s">
        <v>57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8:52" x14ac:dyDescent="0.25">
      <c r="H70" s="11"/>
      <c r="I70" s="11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  <row r="71" spans="8:52" x14ac:dyDescent="0.25">
      <c r="H71" s="11" t="s">
        <v>76</v>
      </c>
      <c r="I71" s="11"/>
      <c r="J71" s="10">
        <f>J63/J67</f>
        <v>694</v>
      </c>
      <c r="K71" t="s">
        <v>79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</row>
    <row r="72" spans="8:52" x14ac:dyDescent="0.25">
      <c r="J72" s="10">
        <f>J62/J69</f>
        <v>192.77777777777777</v>
      </c>
      <c r="K72" t="s">
        <v>77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</row>
    <row r="73" spans="8:52" x14ac:dyDescent="0.25">
      <c r="J73" s="10">
        <f>J64/J67</f>
        <v>431.25</v>
      </c>
      <c r="K73" t="s">
        <v>78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</row>
    <row r="74" spans="8:52" x14ac:dyDescent="0.25"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</row>
    <row r="75" spans="8:52" x14ac:dyDescent="0.25">
      <c r="H75" s="11" t="s">
        <v>80</v>
      </c>
      <c r="I75" s="11"/>
      <c r="J75">
        <v>0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</row>
    <row r="76" spans="8:52" x14ac:dyDescent="0.25"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</row>
    <row r="77" spans="8:52" x14ac:dyDescent="0.25">
      <c r="H77" s="11" t="s">
        <v>96</v>
      </c>
      <c r="I77" s="11"/>
      <c r="J77" t="s">
        <v>86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</row>
    <row r="78" spans="8:52" x14ac:dyDescent="0.25"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</row>
    <row r="79" spans="8:52" ht="15.75" x14ac:dyDescent="0.25">
      <c r="H79" t="s">
        <v>81</v>
      </c>
      <c r="J79" s="12" t="s">
        <v>82</v>
      </c>
      <c r="N79" t="s">
        <v>100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</row>
    <row r="80" spans="8:52" x14ac:dyDescent="0.25">
      <c r="H80" t="s">
        <v>84</v>
      </c>
      <c r="J80">
        <v>1453.6</v>
      </c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</row>
    <row r="81" spans="3:42" ht="31.5" x14ac:dyDescent="0.5">
      <c r="T81" s="31" t="s">
        <v>119</v>
      </c>
      <c r="U81" s="31"/>
      <c r="V81" s="31"/>
      <c r="W81" s="31"/>
      <c r="X81" s="31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3:42" x14ac:dyDescent="0.25">
      <c r="H82" t="s">
        <v>83</v>
      </c>
      <c r="I82" t="s">
        <v>99</v>
      </c>
      <c r="J82" t="s">
        <v>98</v>
      </c>
      <c r="K82" t="s">
        <v>97</v>
      </c>
      <c r="L82" t="s">
        <v>112</v>
      </c>
      <c r="M82" s="13" t="s">
        <v>91</v>
      </c>
      <c r="N82" s="1" t="s">
        <v>88</v>
      </c>
      <c r="O82" s="1" t="s">
        <v>85</v>
      </c>
      <c r="P82" t="s">
        <v>89</v>
      </c>
      <c r="Q82" t="s">
        <v>92</v>
      </c>
      <c r="R82" t="s">
        <v>90</v>
      </c>
      <c r="T82" s="43" t="s">
        <v>87</v>
      </c>
      <c r="U82" s="43"/>
      <c r="V82" s="43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3:42" x14ac:dyDescent="0.25">
      <c r="M83" s="13"/>
      <c r="N83" s="1"/>
      <c r="O83" s="1"/>
      <c r="T83" s="26"/>
      <c r="U83" s="26"/>
      <c r="V83" s="26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3:42" x14ac:dyDescent="0.25">
      <c r="H84">
        <v>0</v>
      </c>
      <c r="I84" s="7">
        <f>(15/360)*40000</f>
        <v>1666.6666666666665</v>
      </c>
      <c r="J84" s="6">
        <f>PI()*(1/12)</f>
        <v>0.26179938779914941</v>
      </c>
      <c r="K84">
        <v>15</v>
      </c>
      <c r="L84" s="10">
        <v>0</v>
      </c>
      <c r="M84" s="6">
        <f>SIN(J84)</f>
        <v>0.25881904510252074</v>
      </c>
      <c r="N84" s="6">
        <f>SIN($J$84)</f>
        <v>0.25881904510252074</v>
      </c>
      <c r="O84" s="6">
        <f>M84-N84</f>
        <v>0</v>
      </c>
      <c r="P84" s="10">
        <f>O84*$J$80</f>
        <v>0</v>
      </c>
      <c r="Q84" s="8">
        <f>P84*(1000/3600)</f>
        <v>0</v>
      </c>
      <c r="R84" s="8">
        <v>0</v>
      </c>
      <c r="T84" s="4"/>
      <c r="U84" s="4"/>
      <c r="V84" s="27">
        <f>$T$85*($O$99-$O84)/$O$99</f>
        <v>1.9466249747592855E-3</v>
      </c>
      <c r="W84" s="28">
        <f>(COS(J84))</f>
        <v>0.96592582628906831</v>
      </c>
      <c r="X84" s="29">
        <f t="shared" ref="X84:X114" si="0">((Q85^2)-(Q84^2))/(2*(I85-I84)*1000)</f>
        <v>1.0138671743537945E-3</v>
      </c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3:42" x14ac:dyDescent="0.25">
      <c r="C85">
        <f>2*PI()*6378</f>
        <v>40074.155889191403</v>
      </c>
      <c r="H85">
        <f>H84+1</f>
        <v>1</v>
      </c>
      <c r="I85" s="10">
        <f>I84+5/90*(2*PI()*6378/4)</f>
        <v>2223.2521651276584</v>
      </c>
      <c r="J85" s="6">
        <f>PI()*(1/12+1/36)</f>
        <v>0.3490658503988659</v>
      </c>
      <c r="K85">
        <v>20</v>
      </c>
      <c r="L85" s="10">
        <f>I85-$I$84</f>
        <v>556.58549846099186</v>
      </c>
      <c r="M85" s="6">
        <f t="shared" ref="M85:M114" si="1">SIN(J85)</f>
        <v>0.34202014332566871</v>
      </c>
      <c r="N85" s="6">
        <f t="shared" ref="N85:N114" si="2">SIN($J$84)</f>
        <v>0.25881904510252074</v>
      </c>
      <c r="O85" s="6">
        <f t="shared" ref="O85:O92" si="3">M85-N85</f>
        <v>8.3201098223147973E-2</v>
      </c>
      <c r="P85" s="10">
        <f t="shared" ref="P85:P92" si="4">O85*$J$80</f>
        <v>120.94111637716789</v>
      </c>
      <c r="Q85" s="8">
        <f t="shared" ref="Q85:Q114" si="5">P85*(1000/3600)</f>
        <v>33.594754549213306</v>
      </c>
      <c r="R85" s="8">
        <f t="shared" ref="R85:R114" si="6">IF(P85&gt;=0,R84+(((I85-I84)*2)/(P84+P85))/1.92)</f>
        <v>4.7938747240332305</v>
      </c>
      <c r="T85" s="30">
        <f>($Q85-$Q84)/(($R85-$R84)*3600)</f>
        <v>1.9466249747592853E-3</v>
      </c>
      <c r="U85" s="30">
        <f t="shared" ref="U85:U114" si="7">((I85-I84)*(1000))/(((R85-R84)*3600)^2)</f>
        <v>1.8687599757689136E-3</v>
      </c>
      <c r="V85" s="27">
        <f t="shared" ref="V85:V99" si="8">$T$85*($O$99-$O85)/$O$99</f>
        <v>1.728107034358371E-3</v>
      </c>
      <c r="W85" s="28">
        <f t="shared" ref="W85:W114" si="9">(COS(J85))</f>
        <v>0.93969262078590843</v>
      </c>
      <c r="X85" s="29">
        <f t="shared" si="0"/>
        <v>2.9157169036438937E-3</v>
      </c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3:42" x14ac:dyDescent="0.25">
      <c r="H86">
        <f t="shared" ref="H86:H114" si="10">H85+1</f>
        <v>2</v>
      </c>
      <c r="I86" s="10">
        <f t="shared" ref="I86:I114" si="11">I85+5/90*(2*PI()*6378/4)</f>
        <v>2779.8376635886498</v>
      </c>
      <c r="J86" s="6">
        <f>PI()*(1/12+2/36)</f>
        <v>0.43633231299858238</v>
      </c>
      <c r="K86">
        <v>25</v>
      </c>
      <c r="L86" s="10">
        <f t="shared" ref="L86:L114" si="12">I86-$I$84</f>
        <v>1113.1709969219833</v>
      </c>
      <c r="M86" s="6">
        <f t="shared" si="1"/>
        <v>0.42261826174069944</v>
      </c>
      <c r="N86" s="6">
        <f t="shared" si="2"/>
        <v>0.25881904510252074</v>
      </c>
      <c r="O86" s="6">
        <f t="shared" si="3"/>
        <v>0.1637992166381787</v>
      </c>
      <c r="P86" s="10">
        <f t="shared" si="4"/>
        <v>238.09854130525653</v>
      </c>
      <c r="Q86" s="8">
        <f t="shared" si="5"/>
        <v>66.138483695904597</v>
      </c>
      <c r="R86" s="8">
        <f t="shared" si="6"/>
        <v>6.4086728347469126</v>
      </c>
      <c r="T86" s="30">
        <f t="shared" ref="T86:T114" si="13">($Q86-$Q85)/(($R86-$R85)*3600)</f>
        <v>5.598176454996274E-3</v>
      </c>
      <c r="U86" s="30">
        <f t="shared" si="7"/>
        <v>1.6469879437091887E-2</v>
      </c>
      <c r="V86" s="27">
        <f t="shared" si="8"/>
        <v>1.5164255155759477E-3</v>
      </c>
      <c r="W86" s="28">
        <f t="shared" si="9"/>
        <v>0.90630778703664994</v>
      </c>
      <c r="X86" s="29">
        <f t="shared" si="0"/>
        <v>4.5898150513828118E-3</v>
      </c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3:42" x14ac:dyDescent="0.25">
      <c r="H87">
        <f t="shared" si="10"/>
        <v>3</v>
      </c>
      <c r="I87" s="10">
        <f t="shared" si="11"/>
        <v>3336.4231620496412</v>
      </c>
      <c r="J87" s="6">
        <f>PI()*(2/12)</f>
        <v>0.52359877559829882</v>
      </c>
      <c r="K87">
        <v>30</v>
      </c>
      <c r="L87" s="10">
        <f t="shared" si="12"/>
        <v>1669.7564953829747</v>
      </c>
      <c r="M87" s="6">
        <f t="shared" si="1"/>
        <v>0.49999999999999994</v>
      </c>
      <c r="N87" s="6">
        <f t="shared" si="2"/>
        <v>0.25881904510252074</v>
      </c>
      <c r="O87" s="6">
        <f t="shared" si="3"/>
        <v>0.24118095489747921</v>
      </c>
      <c r="P87" s="10">
        <f t="shared" si="4"/>
        <v>350.58063603897574</v>
      </c>
      <c r="Q87" s="8">
        <f t="shared" si="5"/>
        <v>97.383510010826598</v>
      </c>
      <c r="R87" s="8">
        <f t="shared" si="6"/>
        <v>7.3935497986518879</v>
      </c>
      <c r="T87" s="30">
        <f t="shared" si="13"/>
        <v>8.8124448986549985E-3</v>
      </c>
      <c r="U87" s="30">
        <f t="shared" si="7"/>
        <v>4.4275444128134681E-2</v>
      </c>
      <c r="V87" s="27">
        <f t="shared" si="8"/>
        <v>1.3131914425867459E-3</v>
      </c>
      <c r="W87" s="28">
        <f t="shared" si="9"/>
        <v>0.86602540378443871</v>
      </c>
      <c r="X87" s="29">
        <f t="shared" si="0"/>
        <v>5.9908483261273309E-3</v>
      </c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3:42" x14ac:dyDescent="0.25">
      <c r="H88">
        <f t="shared" si="10"/>
        <v>4</v>
      </c>
      <c r="I88" s="10">
        <f t="shared" si="11"/>
        <v>3893.0086605106326</v>
      </c>
      <c r="J88" s="6">
        <f>PI()*(2/12+1/36)</f>
        <v>0.6108652381980153</v>
      </c>
      <c r="K88">
        <v>35</v>
      </c>
      <c r="L88" s="10">
        <f t="shared" si="12"/>
        <v>2226.3419938439661</v>
      </c>
      <c r="M88" s="6">
        <f t="shared" si="1"/>
        <v>0.57357643635104605</v>
      </c>
      <c r="N88" s="6">
        <f t="shared" si="2"/>
        <v>0.25881904510252074</v>
      </c>
      <c r="O88" s="6">
        <f t="shared" si="3"/>
        <v>0.31475739124852531</v>
      </c>
      <c r="P88" s="10">
        <f t="shared" si="4"/>
        <v>457.53134391885635</v>
      </c>
      <c r="Q88" s="8">
        <f t="shared" si="5"/>
        <v>127.0920399774601</v>
      </c>
      <c r="R88" s="8">
        <f t="shared" si="6"/>
        <v>8.1109956171473883</v>
      </c>
      <c r="T88" s="30">
        <f t="shared" si="13"/>
        <v>1.1502428786164472E-2</v>
      </c>
      <c r="U88" s="30">
        <f t="shared" si="7"/>
        <v>8.3435076378410217E-2</v>
      </c>
      <c r="V88" s="27">
        <f t="shared" si="8"/>
        <v>1.1199515494023018E-3</v>
      </c>
      <c r="W88" s="28">
        <f t="shared" si="9"/>
        <v>0.8191520442889918</v>
      </c>
      <c r="X88" s="29">
        <f t="shared" si="0"/>
        <v>7.0828171942082527E-3</v>
      </c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3:42" x14ac:dyDescent="0.25">
      <c r="H89">
        <f t="shared" si="10"/>
        <v>5</v>
      </c>
      <c r="I89" s="10">
        <f t="shared" si="11"/>
        <v>4449.594158971624</v>
      </c>
      <c r="J89" s="6">
        <f>PI()*(2/12+2/36)</f>
        <v>0.69813170079773179</v>
      </c>
      <c r="K89">
        <v>40</v>
      </c>
      <c r="L89" s="10">
        <f t="shared" si="12"/>
        <v>2782.9274923049575</v>
      </c>
      <c r="M89" s="6">
        <f t="shared" si="1"/>
        <v>0.64278760968653925</v>
      </c>
      <c r="N89" s="6">
        <f t="shared" si="2"/>
        <v>0.25881904510252074</v>
      </c>
      <c r="O89" s="6">
        <f t="shared" si="3"/>
        <v>0.38396856458401851</v>
      </c>
      <c r="P89" s="10">
        <f t="shared" si="4"/>
        <v>558.13670547932929</v>
      </c>
      <c r="Q89" s="8">
        <f t="shared" si="5"/>
        <v>155.03797374425815</v>
      </c>
      <c r="R89" s="8">
        <f t="shared" si="6"/>
        <v>8.6818283427021612</v>
      </c>
      <c r="T89" s="30">
        <f t="shared" si="13"/>
        <v>1.3599009012879847E-2</v>
      </c>
      <c r="U89" s="30">
        <f t="shared" si="7"/>
        <v>0.13179810294280786</v>
      </c>
      <c r="V89" s="27">
        <f t="shared" si="8"/>
        <v>9.3817650829118647E-4</v>
      </c>
      <c r="W89" s="28">
        <f t="shared" si="9"/>
        <v>0.76604444311897801</v>
      </c>
      <c r="X89" s="29">
        <f t="shared" si="0"/>
        <v>7.8400797045095894E-3</v>
      </c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3:42" x14ac:dyDescent="0.25">
      <c r="H90">
        <f t="shared" si="10"/>
        <v>6</v>
      </c>
      <c r="I90" s="10">
        <f t="shared" si="11"/>
        <v>5006.1796574326154</v>
      </c>
      <c r="J90" s="6">
        <f>PI()*(3/12)</f>
        <v>0.78539816339744828</v>
      </c>
      <c r="K90">
        <v>45</v>
      </c>
      <c r="L90" s="10">
        <f t="shared" si="12"/>
        <v>3339.5129907659489</v>
      </c>
      <c r="M90" s="6">
        <f t="shared" si="1"/>
        <v>0.70710678118654746</v>
      </c>
      <c r="N90" s="6">
        <f t="shared" si="2"/>
        <v>0.25881904510252074</v>
      </c>
      <c r="O90" s="6">
        <f t="shared" si="3"/>
        <v>0.44828773608402672</v>
      </c>
      <c r="P90" s="10">
        <f t="shared" si="4"/>
        <v>651.6310531717412</v>
      </c>
      <c r="Q90" s="8">
        <f t="shared" si="5"/>
        <v>181.00862588103922</v>
      </c>
      <c r="R90" s="8">
        <f t="shared" si="6"/>
        <v>9.1610745093741315</v>
      </c>
      <c r="T90" s="30">
        <f t="shared" si="13"/>
        <v>1.5052953032658386E-2</v>
      </c>
      <c r="U90" s="30">
        <f t="shared" si="7"/>
        <v>0.18698621459831702</v>
      </c>
      <c r="V90" s="27">
        <f t="shared" si="8"/>
        <v>7.692497370750264E-4</v>
      </c>
      <c r="W90" s="28">
        <f t="shared" si="9"/>
        <v>0.70710678118654757</v>
      </c>
      <c r="X90" s="29">
        <f t="shared" si="0"/>
        <v>8.248073245282244E-3</v>
      </c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3:42" x14ac:dyDescent="0.25">
      <c r="H91">
        <f t="shared" si="10"/>
        <v>7</v>
      </c>
      <c r="I91" s="10">
        <f t="shared" si="11"/>
        <v>5562.7651558936068</v>
      </c>
      <c r="J91" s="6">
        <f>PI()*(3/12+1/36)</f>
        <v>0.87266462599716477</v>
      </c>
      <c r="K91">
        <v>50</v>
      </c>
      <c r="L91" s="10">
        <f t="shared" si="12"/>
        <v>3896.0984892269403</v>
      </c>
      <c r="M91" s="6">
        <f t="shared" si="1"/>
        <v>0.76604444311897801</v>
      </c>
      <c r="N91" s="6">
        <f t="shared" si="2"/>
        <v>0.25881904510252074</v>
      </c>
      <c r="O91" s="6">
        <f t="shared" si="3"/>
        <v>0.50722539801645727</v>
      </c>
      <c r="P91" s="10">
        <f t="shared" si="4"/>
        <v>737.30283855672224</v>
      </c>
      <c r="Q91" s="8">
        <f t="shared" si="5"/>
        <v>204.80634404353395</v>
      </c>
      <c r="R91" s="8">
        <f t="shared" si="6"/>
        <v>9.578500107777062</v>
      </c>
      <c r="T91" s="30">
        <f t="shared" si="13"/>
        <v>1.5836300630941949E-2</v>
      </c>
      <c r="U91" s="30">
        <f t="shared" si="7"/>
        <v>0.24647264655910023</v>
      </c>
      <c r="V91" s="27">
        <f t="shared" si="8"/>
        <v>6.1445687048354959E-4</v>
      </c>
      <c r="W91" s="28">
        <f t="shared" si="9"/>
        <v>0.64278760968653936</v>
      </c>
      <c r="X91" s="29">
        <f t="shared" si="0"/>
        <v>8.3036927393277012E-3</v>
      </c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3:42" x14ac:dyDescent="0.25">
      <c r="H92">
        <f t="shared" si="10"/>
        <v>8</v>
      </c>
      <c r="I92" s="10">
        <f t="shared" si="11"/>
        <v>6119.3506543545982</v>
      </c>
      <c r="J92" s="6">
        <f>PI()*(3/12+2/36)</f>
        <v>0.95993108859688125</v>
      </c>
      <c r="K92">
        <v>55</v>
      </c>
      <c r="L92" s="10">
        <f t="shared" si="12"/>
        <v>4452.6839876879312</v>
      </c>
      <c r="M92" s="6">
        <f t="shared" si="1"/>
        <v>0.8191520442889918</v>
      </c>
      <c r="N92" s="6">
        <f t="shared" si="2"/>
        <v>0.25881904510252074</v>
      </c>
      <c r="O92" s="6">
        <f t="shared" si="3"/>
        <v>0.56033299918647106</v>
      </c>
      <c r="P92" s="10">
        <f t="shared" si="4"/>
        <v>814.50004761745424</v>
      </c>
      <c r="Q92" s="8">
        <f t="shared" si="5"/>
        <v>226.25001322707064</v>
      </c>
      <c r="R92" s="8">
        <f t="shared" si="6"/>
        <v>9.952114930936883</v>
      </c>
      <c r="T92" s="30">
        <f t="shared" si="13"/>
        <v>1.5943090059509207E-2</v>
      </c>
      <c r="U92" s="30">
        <f t="shared" si="7"/>
        <v>0.30766542121284274</v>
      </c>
      <c r="V92" s="27">
        <f t="shared" si="8"/>
        <v>4.7497597569800561E-4</v>
      </c>
      <c r="W92" s="28">
        <f t="shared" si="9"/>
        <v>0.57357643635104616</v>
      </c>
      <c r="X92" s="29">
        <f t="shared" si="0"/>
        <v>8.015314275510374E-3</v>
      </c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3:42" x14ac:dyDescent="0.25">
      <c r="H93">
        <f t="shared" ref="H93" si="14">H92+1</f>
        <v>9</v>
      </c>
      <c r="I93" s="10">
        <f t="shared" ref="I93" si="15">I92+5/90*(2*PI()*6378/4)</f>
        <v>6675.9361528155896</v>
      </c>
      <c r="J93" s="6">
        <f>PI()*(4/12)</f>
        <v>1.0471975511965976</v>
      </c>
      <c r="K93">
        <v>60</v>
      </c>
      <c r="L93" s="10">
        <f t="shared" si="12"/>
        <v>5009.2694861489235</v>
      </c>
      <c r="M93" s="6">
        <f t="shared" si="1"/>
        <v>0.8660254037844386</v>
      </c>
      <c r="N93" s="6">
        <f t="shared" si="2"/>
        <v>0.25881904510252074</v>
      </c>
      <c r="O93" s="6">
        <f t="shared" ref="O93:O114" si="16">M93-N93</f>
        <v>0.60720635868191786</v>
      </c>
      <c r="P93" s="10">
        <f t="shared" ref="P93:P114" si="17">O93*$J$80</f>
        <v>882.63516298003572</v>
      </c>
      <c r="Q93" s="8">
        <f t="shared" si="5"/>
        <v>245.17643416112105</v>
      </c>
      <c r="R93" s="8">
        <f t="shared" si="6"/>
        <v>10.293735655836434</v>
      </c>
      <c r="T93" s="30">
        <f t="shared" si="13"/>
        <v>1.538940340897991E-2</v>
      </c>
      <c r="U93" s="30">
        <f t="shared" si="7"/>
        <v>0.36799207466257255</v>
      </c>
      <c r="V93" s="27">
        <f t="shared" si="8"/>
        <v>3.5186858654857975E-4</v>
      </c>
      <c r="W93" s="28">
        <f t="shared" si="9"/>
        <v>0.50000000000000011</v>
      </c>
      <c r="X93" s="29">
        <f t="shared" si="0"/>
        <v>7.4024639967487146E-3</v>
      </c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3:42" x14ac:dyDescent="0.25">
      <c r="H94">
        <f t="shared" si="10"/>
        <v>10</v>
      </c>
      <c r="I94" s="10">
        <f t="shared" si="11"/>
        <v>7232.521651276581</v>
      </c>
      <c r="J94" s="6">
        <f>PI()*(4/12+1/36)</f>
        <v>1.1344640137963142</v>
      </c>
      <c r="K94">
        <v>65</v>
      </c>
      <c r="L94" s="10">
        <f t="shared" si="12"/>
        <v>5565.854984609914</v>
      </c>
      <c r="M94" s="6">
        <f t="shared" si="1"/>
        <v>0.90630778703664994</v>
      </c>
      <c r="N94" s="6">
        <f t="shared" si="2"/>
        <v>0.25881904510252074</v>
      </c>
      <c r="O94" s="6">
        <f t="shared" si="16"/>
        <v>0.6474887419341292</v>
      </c>
      <c r="P94" s="10">
        <f t="shared" si="17"/>
        <v>941.18963527545009</v>
      </c>
      <c r="Q94" s="8">
        <f t="shared" si="5"/>
        <v>261.4415653542917</v>
      </c>
      <c r="R94" s="8">
        <f t="shared" si="6"/>
        <v>10.611626146990755</v>
      </c>
      <c r="T94" s="30">
        <f t="shared" si="13"/>
        <v>1.4212730873757512E-2</v>
      </c>
      <c r="U94" s="30">
        <f t="shared" si="7"/>
        <v>0.42498324726085018</v>
      </c>
      <c r="V94" s="27">
        <f t="shared" si="8"/>
        <v>2.4607162460097261E-4</v>
      </c>
      <c r="W94" s="28">
        <f t="shared" si="9"/>
        <v>0.42261826174069944</v>
      </c>
      <c r="X94" s="29">
        <f t="shared" si="0"/>
        <v>6.4951428881945611E-3</v>
      </c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3:42" x14ac:dyDescent="0.25">
      <c r="H95">
        <f t="shared" si="10"/>
        <v>11</v>
      </c>
      <c r="I95" s="10">
        <f t="shared" si="11"/>
        <v>7789.1071497375724</v>
      </c>
      <c r="J95" s="6">
        <f>PI()*(4/12+2/36)</f>
        <v>1.2217304763960306</v>
      </c>
      <c r="K95">
        <v>70</v>
      </c>
      <c r="L95" s="10">
        <f t="shared" si="12"/>
        <v>6122.4404830709063</v>
      </c>
      <c r="M95" s="6">
        <f t="shared" si="1"/>
        <v>0.93969262078590832</v>
      </c>
      <c r="N95" s="6">
        <f t="shared" si="2"/>
        <v>0.25881904510252074</v>
      </c>
      <c r="O95" s="6">
        <f t="shared" si="16"/>
        <v>0.68087357568338758</v>
      </c>
      <c r="P95" s="10">
        <f t="shared" si="17"/>
        <v>989.71782961337215</v>
      </c>
      <c r="Q95" s="8">
        <f t="shared" si="5"/>
        <v>274.92161933704784</v>
      </c>
      <c r="R95" s="8">
        <f t="shared" si="6"/>
        <v>10.911887330625595</v>
      </c>
      <c r="T95" s="30">
        <f t="shared" si="13"/>
        <v>1.2470674345333563E-2</v>
      </c>
      <c r="U95" s="30">
        <f t="shared" si="7"/>
        <v>0.47635255697353945</v>
      </c>
      <c r="V95" s="27">
        <f t="shared" si="8"/>
        <v>1.58390268617558E-4</v>
      </c>
      <c r="W95" s="28">
        <f t="shared" si="9"/>
        <v>0.34202014332566882</v>
      </c>
      <c r="X95" s="29">
        <f t="shared" si="0"/>
        <v>5.332828605030245E-3</v>
      </c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3:42" x14ac:dyDescent="0.25">
      <c r="H96">
        <f t="shared" si="10"/>
        <v>12</v>
      </c>
      <c r="I96" s="10">
        <f t="shared" si="11"/>
        <v>8345.6926481985647</v>
      </c>
      <c r="J96" s="6">
        <f>PI()*(5/12)</f>
        <v>1.3089969389957472</v>
      </c>
      <c r="K96">
        <v>75</v>
      </c>
      <c r="L96" s="10">
        <f t="shared" si="12"/>
        <v>6679.0259815318987</v>
      </c>
      <c r="M96" s="6">
        <f t="shared" si="1"/>
        <v>0.96592582628906831</v>
      </c>
      <c r="N96" s="6">
        <f t="shared" si="2"/>
        <v>0.25881904510252074</v>
      </c>
      <c r="O96" s="6">
        <f t="shared" si="16"/>
        <v>0.70710678118654757</v>
      </c>
      <c r="P96" s="10">
        <f t="shared" si="17"/>
        <v>1027.8504171327654</v>
      </c>
      <c r="Q96" s="8">
        <f t="shared" si="5"/>
        <v>285.51400475910151</v>
      </c>
      <c r="R96" s="8">
        <f t="shared" si="6"/>
        <v>11.199251369900058</v>
      </c>
      <c r="T96" s="30">
        <f t="shared" si="13"/>
        <v>1.023903092165809E-2</v>
      </c>
      <c r="U96" s="30">
        <f t="shared" si="7"/>
        <v>0.52007029180235487</v>
      </c>
      <c r="V96" s="27">
        <f t="shared" si="8"/>
        <v>8.949182666081951E-5</v>
      </c>
      <c r="W96" s="28">
        <f t="shared" si="9"/>
        <v>0.25881904510252074</v>
      </c>
      <c r="X96" s="29">
        <f t="shared" si="0"/>
        <v>3.9631853279757778E-3</v>
      </c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8:42" x14ac:dyDescent="0.25">
      <c r="H97">
        <f t="shared" si="10"/>
        <v>13</v>
      </c>
      <c r="I97" s="10">
        <f t="shared" si="11"/>
        <v>8902.278146659557</v>
      </c>
      <c r="J97" s="6">
        <f>PI()*(5/12+1/36)</f>
        <v>1.3962634015954638</v>
      </c>
      <c r="K97">
        <v>80</v>
      </c>
      <c r="L97" s="10">
        <f t="shared" si="12"/>
        <v>7235.611479992891</v>
      </c>
      <c r="M97" s="6">
        <f t="shared" si="1"/>
        <v>0.98480775301220813</v>
      </c>
      <c r="N97" s="6">
        <f t="shared" si="2"/>
        <v>0.25881904510252074</v>
      </c>
      <c r="O97" s="6">
        <f t="shared" si="16"/>
        <v>0.72598870790968739</v>
      </c>
      <c r="P97" s="10">
        <f t="shared" si="17"/>
        <v>1055.2971858175215</v>
      </c>
      <c r="Q97" s="8">
        <f t="shared" si="5"/>
        <v>293.13810717153376</v>
      </c>
      <c r="R97" s="8">
        <f t="shared" si="6"/>
        <v>11.477568931303653</v>
      </c>
      <c r="T97" s="30">
        <f t="shared" si="13"/>
        <v>7.6093158297134639E-3</v>
      </c>
      <c r="U97" s="30">
        <f t="shared" si="7"/>
        <v>0.55442865002831909</v>
      </c>
      <c r="V97" s="27">
        <f t="shared" si="8"/>
        <v>3.9900657476065101E-5</v>
      </c>
      <c r="W97" s="28">
        <f t="shared" si="9"/>
        <v>0.17364817766693022</v>
      </c>
      <c r="X97" s="29">
        <f t="shared" si="0"/>
        <v>2.4405215366867933E-3</v>
      </c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8:42" x14ac:dyDescent="0.25">
      <c r="H98">
        <f t="shared" si="10"/>
        <v>14</v>
      </c>
      <c r="I98" s="10">
        <f t="shared" si="11"/>
        <v>9458.8636451205493</v>
      </c>
      <c r="J98" s="6">
        <f>PI()*(5/12+2/36)</f>
        <v>1.48352986419518</v>
      </c>
      <c r="K98">
        <v>85</v>
      </c>
      <c r="L98" s="10">
        <f t="shared" si="12"/>
        <v>7792.1969784538833</v>
      </c>
      <c r="M98" s="6">
        <f t="shared" si="1"/>
        <v>0.99619469809174555</v>
      </c>
      <c r="N98" s="6">
        <f t="shared" si="2"/>
        <v>0.25881904510252074</v>
      </c>
      <c r="O98" s="6">
        <f t="shared" si="16"/>
        <v>0.73737565298922481</v>
      </c>
      <c r="P98" s="10">
        <f t="shared" si="17"/>
        <v>1071.8492491851371</v>
      </c>
      <c r="Q98" s="8">
        <f t="shared" si="5"/>
        <v>297.73590255142699</v>
      </c>
      <c r="R98" s="8">
        <f t="shared" si="6"/>
        <v>11.750129649906057</v>
      </c>
      <c r="T98" s="30">
        <f t="shared" si="13"/>
        <v>4.6858013504386424E-3</v>
      </c>
      <c r="U98" s="30">
        <f t="shared" si="7"/>
        <v>0.57809651882609625</v>
      </c>
      <c r="V98" s="27">
        <f t="shared" si="8"/>
        <v>9.9941798047575286E-6</v>
      </c>
      <c r="W98" s="28">
        <f t="shared" si="9"/>
        <v>8.715574274765836E-2</v>
      </c>
      <c r="X98" s="29">
        <f t="shared" si="0"/>
        <v>8.2404327602322381E-4</v>
      </c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8:42" x14ac:dyDescent="0.25">
      <c r="H99">
        <f t="shared" si="10"/>
        <v>15</v>
      </c>
      <c r="I99" s="10">
        <f t="shared" si="11"/>
        <v>10015.449143581542</v>
      </c>
      <c r="J99" s="6">
        <f>PI()*(6/12)</f>
        <v>1.5707963267948966</v>
      </c>
      <c r="K99">
        <v>90</v>
      </c>
      <c r="L99" s="10">
        <f t="shared" si="12"/>
        <v>8348.7824769148756</v>
      </c>
      <c r="M99" s="6">
        <f t="shared" si="1"/>
        <v>1</v>
      </c>
      <c r="N99" s="6">
        <f t="shared" si="2"/>
        <v>0.25881904510252074</v>
      </c>
      <c r="O99" s="6">
        <f t="shared" si="16"/>
        <v>0.74118095489747926</v>
      </c>
      <c r="P99" s="10">
        <f t="shared" si="17"/>
        <v>1077.3806360389758</v>
      </c>
      <c r="Q99" s="8">
        <f t="shared" si="5"/>
        <v>299.27239889971554</v>
      </c>
      <c r="R99" s="8">
        <f t="shared" si="6"/>
        <v>12.019889792775283</v>
      </c>
      <c r="T99" s="30">
        <f t="shared" si="13"/>
        <v>1.5821630899645941E-3</v>
      </c>
      <c r="U99" s="30">
        <f t="shared" si="7"/>
        <v>0.5901621048498743</v>
      </c>
      <c r="V99" s="27">
        <f t="shared" si="8"/>
        <v>0</v>
      </c>
      <c r="W99" s="28">
        <f t="shared" si="9"/>
        <v>6.1257422745431001E-17</v>
      </c>
      <c r="X99" s="29">
        <f t="shared" si="0"/>
        <v>-8.2404327602322381E-4</v>
      </c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8:42" x14ac:dyDescent="0.25">
      <c r="H100">
        <f t="shared" si="10"/>
        <v>16</v>
      </c>
      <c r="I100" s="10">
        <f t="shared" si="11"/>
        <v>10572.034642042534</v>
      </c>
      <c r="J100" s="6">
        <f>PI()*(6/12+1/36)</f>
        <v>1.6580627893946132</v>
      </c>
      <c r="K100">
        <v>95</v>
      </c>
      <c r="L100" s="10">
        <f t="shared" si="12"/>
        <v>8905.3679753758679</v>
      </c>
      <c r="M100" s="6">
        <f t="shared" si="1"/>
        <v>0.99619469809174555</v>
      </c>
      <c r="N100" s="6">
        <f t="shared" si="2"/>
        <v>0.25881904510252074</v>
      </c>
      <c r="O100" s="6">
        <f t="shared" si="16"/>
        <v>0.73737565298922481</v>
      </c>
      <c r="P100" s="10">
        <f t="shared" si="17"/>
        <v>1071.8492491851371</v>
      </c>
      <c r="Q100" s="8">
        <f t="shared" si="5"/>
        <v>297.73590255142699</v>
      </c>
      <c r="R100" s="8">
        <f t="shared" si="6"/>
        <v>12.289649935644508</v>
      </c>
      <c r="T100" s="30">
        <f t="shared" si="13"/>
        <v>-1.5821630899645941E-3</v>
      </c>
      <c r="U100" s="30">
        <f t="shared" si="7"/>
        <v>0.5901621048498743</v>
      </c>
      <c r="V100" s="27">
        <f>-$T$85*($O$99-$O100)/$O$99</f>
        <v>-9.9941798047575286E-6</v>
      </c>
      <c r="W100" s="28">
        <f t="shared" si="9"/>
        <v>-8.7155742747658235E-2</v>
      </c>
      <c r="X100" s="29">
        <f t="shared" si="0"/>
        <v>-2.4405215366868327E-3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8:42" x14ac:dyDescent="0.25">
      <c r="H101">
        <f t="shared" si="10"/>
        <v>17</v>
      </c>
      <c r="I101" s="10">
        <f t="shared" si="11"/>
        <v>11128.620140503526</v>
      </c>
      <c r="J101" s="6">
        <f>PI()*(6/12+2/36)</f>
        <v>1.7453292519943295</v>
      </c>
      <c r="K101">
        <v>100</v>
      </c>
      <c r="L101" s="10">
        <f t="shared" si="12"/>
        <v>9461.9534738368602</v>
      </c>
      <c r="M101" s="6">
        <f t="shared" si="1"/>
        <v>0.98480775301220802</v>
      </c>
      <c r="N101" s="6">
        <f t="shared" si="2"/>
        <v>0.25881904510252074</v>
      </c>
      <c r="O101" s="6">
        <f t="shared" si="16"/>
        <v>0.72598870790968728</v>
      </c>
      <c r="P101" s="10">
        <f t="shared" si="17"/>
        <v>1055.2971858175213</v>
      </c>
      <c r="Q101" s="8">
        <f t="shared" si="5"/>
        <v>293.1381071715337</v>
      </c>
      <c r="R101" s="8">
        <f t="shared" si="6"/>
        <v>12.562210654246913</v>
      </c>
      <c r="T101" s="30">
        <f t="shared" si="13"/>
        <v>-4.6858013504387005E-3</v>
      </c>
      <c r="U101" s="30">
        <f t="shared" si="7"/>
        <v>0.57809651882609625</v>
      </c>
      <c r="V101" s="27">
        <f t="shared" ref="V101:V114" si="18">-$T$85*($O$99-$O101)/$O$99</f>
        <v>-3.9900657476065386E-5</v>
      </c>
      <c r="W101" s="28">
        <f t="shared" si="9"/>
        <v>-0.1736481776669303</v>
      </c>
      <c r="X101" s="29">
        <f t="shared" si="0"/>
        <v>-3.9631853279757387E-3</v>
      </c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8:42" x14ac:dyDescent="0.25">
      <c r="H102">
        <f t="shared" si="10"/>
        <v>18</v>
      </c>
      <c r="I102" s="10">
        <f t="shared" si="11"/>
        <v>11685.205638964519</v>
      </c>
      <c r="J102" s="6">
        <f>PI()*(7/12)</f>
        <v>1.8325957145940461</v>
      </c>
      <c r="K102">
        <v>105</v>
      </c>
      <c r="L102" s="10">
        <f t="shared" si="12"/>
        <v>10018.538972297853</v>
      </c>
      <c r="M102" s="6">
        <f t="shared" si="1"/>
        <v>0.96592582628906831</v>
      </c>
      <c r="N102" s="6">
        <f t="shared" si="2"/>
        <v>0.25881904510252074</v>
      </c>
      <c r="O102" s="6">
        <f t="shared" si="16"/>
        <v>0.70710678118654757</v>
      </c>
      <c r="P102" s="10">
        <f t="shared" si="17"/>
        <v>1027.8504171327654</v>
      </c>
      <c r="Q102" s="8">
        <f t="shared" si="5"/>
        <v>285.51400475910151</v>
      </c>
      <c r="R102" s="8">
        <f t="shared" si="6"/>
        <v>12.840528215650508</v>
      </c>
      <c r="T102" s="30">
        <f t="shared" si="13"/>
        <v>-7.6093158297134075E-3</v>
      </c>
      <c r="U102" s="30">
        <f t="shared" si="7"/>
        <v>0.55442865002831909</v>
      </c>
      <c r="V102" s="27">
        <f t="shared" si="18"/>
        <v>-8.949182666081951E-5</v>
      </c>
      <c r="W102" s="28">
        <f t="shared" si="9"/>
        <v>-0.25881904510252085</v>
      </c>
      <c r="X102" s="29">
        <f t="shared" si="0"/>
        <v>-5.332828605030245E-3</v>
      </c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8:42" x14ac:dyDescent="0.25">
      <c r="H103">
        <f t="shared" si="10"/>
        <v>19</v>
      </c>
      <c r="I103" s="10">
        <f t="shared" si="11"/>
        <v>12241.791137425511</v>
      </c>
      <c r="J103" s="6">
        <f>PI()*(7/12+1/36)</f>
        <v>1.9198621771937625</v>
      </c>
      <c r="K103">
        <v>110</v>
      </c>
      <c r="L103" s="10">
        <f t="shared" si="12"/>
        <v>10575.124470758845</v>
      </c>
      <c r="M103" s="6">
        <f t="shared" si="1"/>
        <v>0.93969262078590843</v>
      </c>
      <c r="N103" s="6">
        <f t="shared" si="2"/>
        <v>0.25881904510252074</v>
      </c>
      <c r="O103" s="6">
        <f t="shared" si="16"/>
        <v>0.68087357568338769</v>
      </c>
      <c r="P103" s="10">
        <f t="shared" si="17"/>
        <v>989.71782961337226</v>
      </c>
      <c r="Q103" s="8">
        <f t="shared" si="5"/>
        <v>274.92161933704784</v>
      </c>
      <c r="R103" s="8">
        <f t="shared" si="6"/>
        <v>13.127892254924971</v>
      </c>
      <c r="T103" s="30">
        <f t="shared" si="13"/>
        <v>-1.023903092165809E-2</v>
      </c>
      <c r="U103" s="30">
        <f t="shared" si="7"/>
        <v>0.52007029180235487</v>
      </c>
      <c r="V103" s="27">
        <f t="shared" si="18"/>
        <v>-1.583902686175577E-4</v>
      </c>
      <c r="W103" s="28">
        <f t="shared" si="9"/>
        <v>-0.34202014332566871</v>
      </c>
      <c r="X103" s="29">
        <f t="shared" si="0"/>
        <v>-6.4951428881945506E-3</v>
      </c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8:42" x14ac:dyDescent="0.25">
      <c r="H104">
        <f t="shared" si="10"/>
        <v>20</v>
      </c>
      <c r="I104" s="10">
        <f t="shared" si="11"/>
        <v>12798.376635886503</v>
      </c>
      <c r="J104" s="6">
        <f>PI()*(7/12+2/36)</f>
        <v>2.0071286397934793</v>
      </c>
      <c r="K104">
        <v>115</v>
      </c>
      <c r="L104" s="10">
        <f t="shared" si="12"/>
        <v>11131.709969219837</v>
      </c>
      <c r="M104" s="6">
        <f t="shared" si="1"/>
        <v>0.90630778703664983</v>
      </c>
      <c r="N104" s="6">
        <f t="shared" si="2"/>
        <v>0.25881904510252074</v>
      </c>
      <c r="O104" s="6">
        <f t="shared" si="16"/>
        <v>0.64748874193412909</v>
      </c>
      <c r="P104" s="10">
        <f t="shared" si="17"/>
        <v>941.18963527544997</v>
      </c>
      <c r="Q104" s="8">
        <f t="shared" si="5"/>
        <v>261.4415653542917</v>
      </c>
      <c r="R104" s="8">
        <f t="shared" si="6"/>
        <v>13.428153438559811</v>
      </c>
      <c r="T104" s="30">
        <f t="shared" si="13"/>
        <v>-1.2470674345333563E-2</v>
      </c>
      <c r="U104" s="30">
        <f t="shared" si="7"/>
        <v>0.47635255697354023</v>
      </c>
      <c r="V104" s="27">
        <f t="shared" si="18"/>
        <v>-2.4607162460097288E-4</v>
      </c>
      <c r="W104" s="28">
        <f t="shared" si="9"/>
        <v>-0.42261826174069972</v>
      </c>
      <c r="X104" s="29">
        <f t="shared" si="0"/>
        <v>-7.4024639967486764E-3</v>
      </c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8:42" x14ac:dyDescent="0.25">
      <c r="H105">
        <f t="shared" si="10"/>
        <v>21</v>
      </c>
      <c r="I105" s="10">
        <f t="shared" si="11"/>
        <v>13354.962134347496</v>
      </c>
      <c r="J105" s="6">
        <f>PI()*(8/12)</f>
        <v>2.0943951023931953</v>
      </c>
      <c r="K105">
        <v>120</v>
      </c>
      <c r="L105" s="10">
        <f t="shared" si="12"/>
        <v>11688.295467680829</v>
      </c>
      <c r="M105" s="6">
        <f t="shared" si="1"/>
        <v>0.86602540378443871</v>
      </c>
      <c r="N105" s="6">
        <f t="shared" si="2"/>
        <v>0.25881904510252074</v>
      </c>
      <c r="O105" s="6">
        <f t="shared" si="16"/>
        <v>0.60720635868191797</v>
      </c>
      <c r="P105" s="10">
        <f t="shared" si="17"/>
        <v>882.63516298003594</v>
      </c>
      <c r="Q105" s="8">
        <f t="shared" si="5"/>
        <v>245.17643416112111</v>
      </c>
      <c r="R105" s="8">
        <f t="shared" si="6"/>
        <v>13.746043929714132</v>
      </c>
      <c r="T105" s="30">
        <f t="shared" si="13"/>
        <v>-1.4212730873757464E-2</v>
      </c>
      <c r="U105" s="30">
        <f t="shared" si="7"/>
        <v>0.4249832472608509</v>
      </c>
      <c r="V105" s="27">
        <f t="shared" si="18"/>
        <v>-3.5186858654857943E-4</v>
      </c>
      <c r="W105" s="28">
        <f t="shared" si="9"/>
        <v>-0.49999999999999978</v>
      </c>
      <c r="X105" s="29">
        <f t="shared" si="0"/>
        <v>-8.0153142755103532E-3</v>
      </c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8:42" x14ac:dyDescent="0.25">
      <c r="H106">
        <f t="shared" si="10"/>
        <v>22</v>
      </c>
      <c r="I106" s="10">
        <f t="shared" si="11"/>
        <v>13911.547632808488</v>
      </c>
      <c r="J106" s="6">
        <f>PI()*(8/12+1/36)</f>
        <v>2.1816615649929116</v>
      </c>
      <c r="K106">
        <v>125</v>
      </c>
      <c r="L106" s="10">
        <f t="shared" si="12"/>
        <v>12244.880966141822</v>
      </c>
      <c r="M106" s="6">
        <f t="shared" si="1"/>
        <v>0.81915204428899202</v>
      </c>
      <c r="N106" s="6">
        <f t="shared" si="2"/>
        <v>0.25881904510252074</v>
      </c>
      <c r="O106" s="6">
        <f t="shared" si="16"/>
        <v>0.56033299918647128</v>
      </c>
      <c r="P106" s="10">
        <f t="shared" si="17"/>
        <v>814.50004761745458</v>
      </c>
      <c r="Q106" s="8">
        <f t="shared" si="5"/>
        <v>226.25001322707072</v>
      </c>
      <c r="R106" s="8">
        <f t="shared" si="6"/>
        <v>14.087664654613683</v>
      </c>
      <c r="T106" s="30">
        <f t="shared" si="13"/>
        <v>-1.5389403408979888E-2</v>
      </c>
      <c r="U106" s="30">
        <f t="shared" si="7"/>
        <v>0.36799207466257317</v>
      </c>
      <c r="V106" s="27">
        <f t="shared" si="18"/>
        <v>-4.7497597569800501E-4</v>
      </c>
      <c r="W106" s="28">
        <f t="shared" si="9"/>
        <v>-0.57357643635104583</v>
      </c>
      <c r="X106" s="29">
        <f t="shared" si="0"/>
        <v>-8.3036927393277202E-3</v>
      </c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8:42" x14ac:dyDescent="0.25">
      <c r="H107">
        <f t="shared" si="10"/>
        <v>23</v>
      </c>
      <c r="I107" s="10">
        <f t="shared" si="11"/>
        <v>14468.13313126948</v>
      </c>
      <c r="J107" s="6">
        <f>PI()*(8/12+2/36)</f>
        <v>2.2689280275926285</v>
      </c>
      <c r="K107">
        <v>130</v>
      </c>
      <c r="L107" s="10">
        <f t="shared" si="12"/>
        <v>12801.466464602814</v>
      </c>
      <c r="M107" s="6">
        <f t="shared" si="1"/>
        <v>0.76604444311897801</v>
      </c>
      <c r="N107" s="6">
        <f t="shared" si="2"/>
        <v>0.25881904510252074</v>
      </c>
      <c r="O107" s="6">
        <f t="shared" si="16"/>
        <v>0.50722539801645727</v>
      </c>
      <c r="P107" s="10">
        <f t="shared" si="17"/>
        <v>737.30283855672224</v>
      </c>
      <c r="Q107" s="8">
        <f t="shared" si="5"/>
        <v>204.80634404353395</v>
      </c>
      <c r="R107" s="8">
        <f t="shared" si="6"/>
        <v>14.461279477773505</v>
      </c>
      <c r="T107" s="30">
        <f t="shared" si="13"/>
        <v>-1.5943090059509196E-2</v>
      </c>
      <c r="U107" s="30">
        <f t="shared" si="7"/>
        <v>0.3076654212128403</v>
      </c>
      <c r="V107" s="27">
        <f t="shared" si="18"/>
        <v>-6.1445687048354959E-4</v>
      </c>
      <c r="W107" s="28">
        <f t="shared" si="9"/>
        <v>-0.64278760968653936</v>
      </c>
      <c r="X107" s="29">
        <f t="shared" si="0"/>
        <v>-8.2480732452822215E-3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8:42" x14ac:dyDescent="0.25">
      <c r="H108">
        <f t="shared" si="10"/>
        <v>24</v>
      </c>
      <c r="I108" s="10">
        <f t="shared" si="11"/>
        <v>15024.718629730472</v>
      </c>
      <c r="J108" s="6">
        <f>PI()*(9/12)</f>
        <v>2.3561944901923448</v>
      </c>
      <c r="K108">
        <v>135</v>
      </c>
      <c r="L108" s="10">
        <f t="shared" si="12"/>
        <v>13358.051963063806</v>
      </c>
      <c r="M108" s="6">
        <f t="shared" si="1"/>
        <v>0.70710678118654757</v>
      </c>
      <c r="N108" s="6">
        <f t="shared" si="2"/>
        <v>0.25881904510252074</v>
      </c>
      <c r="O108" s="6">
        <f t="shared" si="16"/>
        <v>0.44828773608402683</v>
      </c>
      <c r="P108" s="10">
        <f t="shared" si="17"/>
        <v>651.63105317174131</v>
      </c>
      <c r="Q108" s="8">
        <f t="shared" si="5"/>
        <v>181.00862588103925</v>
      </c>
      <c r="R108" s="8">
        <f t="shared" si="6"/>
        <v>14.878705076176438</v>
      </c>
      <c r="T108" s="30">
        <f t="shared" si="13"/>
        <v>-1.5836300630941862E-2</v>
      </c>
      <c r="U108" s="30">
        <f t="shared" si="7"/>
        <v>0.24647264655909853</v>
      </c>
      <c r="V108" s="27">
        <f t="shared" si="18"/>
        <v>-7.6924973707502608E-4</v>
      </c>
      <c r="W108" s="28">
        <f t="shared" si="9"/>
        <v>-0.70710678118654746</v>
      </c>
      <c r="X108" s="29">
        <f t="shared" si="0"/>
        <v>-7.8400797045095633E-3</v>
      </c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8:42" x14ac:dyDescent="0.25">
      <c r="H109">
        <f t="shared" si="10"/>
        <v>25</v>
      </c>
      <c r="I109" s="10">
        <f t="shared" si="11"/>
        <v>15581.304128191465</v>
      </c>
      <c r="J109" s="6">
        <f>PI()*(9/12+1/36)</f>
        <v>2.4434609527920612</v>
      </c>
      <c r="K109">
        <v>140</v>
      </c>
      <c r="L109" s="10">
        <f t="shared" si="12"/>
        <v>13914.637461524799</v>
      </c>
      <c r="M109" s="6">
        <f t="shared" si="1"/>
        <v>0.64278760968653947</v>
      </c>
      <c r="N109" s="6">
        <f t="shared" si="2"/>
        <v>0.25881904510252074</v>
      </c>
      <c r="O109" s="6">
        <f t="shared" si="16"/>
        <v>0.38396856458401873</v>
      </c>
      <c r="P109" s="10">
        <f t="shared" si="17"/>
        <v>558.13670547932963</v>
      </c>
      <c r="Q109" s="8">
        <f t="shared" si="5"/>
        <v>155.03797374425824</v>
      </c>
      <c r="R109" s="8">
        <f t="shared" si="6"/>
        <v>15.357951242848408</v>
      </c>
      <c r="T109" s="30">
        <f t="shared" si="13"/>
        <v>-1.5052953032658353E-2</v>
      </c>
      <c r="U109" s="30">
        <f t="shared" si="7"/>
        <v>0.18698621459831735</v>
      </c>
      <c r="V109" s="27">
        <f t="shared" si="18"/>
        <v>-9.3817650829118593E-4</v>
      </c>
      <c r="W109" s="28">
        <f t="shared" si="9"/>
        <v>-0.7660444431189779</v>
      </c>
      <c r="X109" s="29">
        <f t="shared" si="0"/>
        <v>-7.0828171942082735E-3</v>
      </c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8:42" x14ac:dyDescent="0.25">
      <c r="H110">
        <f t="shared" si="10"/>
        <v>26</v>
      </c>
      <c r="I110" s="10">
        <f t="shared" si="11"/>
        <v>16137.889626652457</v>
      </c>
      <c r="J110" s="6">
        <f>PI()*(9/12+2/36)</f>
        <v>2.530727415391778</v>
      </c>
      <c r="K110">
        <v>145</v>
      </c>
      <c r="L110" s="10">
        <f t="shared" si="12"/>
        <v>14471.222959985791</v>
      </c>
      <c r="M110" s="6">
        <f t="shared" si="1"/>
        <v>0.57357643635104594</v>
      </c>
      <c r="N110" s="6">
        <f t="shared" si="2"/>
        <v>0.25881904510252074</v>
      </c>
      <c r="O110" s="6">
        <f t="shared" si="16"/>
        <v>0.3147573912485252</v>
      </c>
      <c r="P110" s="10">
        <f t="shared" si="17"/>
        <v>457.53134391885618</v>
      </c>
      <c r="Q110" s="8">
        <f t="shared" si="5"/>
        <v>127.09203997746006</v>
      </c>
      <c r="R110" s="8">
        <f t="shared" si="6"/>
        <v>15.928783968403181</v>
      </c>
      <c r="T110" s="30">
        <f t="shared" si="13"/>
        <v>-1.3599009012879909E-2</v>
      </c>
      <c r="U110" s="30">
        <f t="shared" si="7"/>
        <v>0.13179810294280808</v>
      </c>
      <c r="V110" s="27">
        <f t="shared" si="18"/>
        <v>-1.119951549402302E-3</v>
      </c>
      <c r="W110" s="28">
        <f t="shared" si="9"/>
        <v>-0.81915204428899191</v>
      </c>
      <c r="X110" s="29">
        <f t="shared" si="0"/>
        <v>-5.9908483261273317E-3</v>
      </c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8:42" x14ac:dyDescent="0.25">
      <c r="H111">
        <f t="shared" si="10"/>
        <v>27</v>
      </c>
      <c r="I111" s="10">
        <f t="shared" si="11"/>
        <v>16694.475125113448</v>
      </c>
      <c r="J111" s="6">
        <f>PI()*(10/12)</f>
        <v>2.6179938779914944</v>
      </c>
      <c r="K111">
        <v>150</v>
      </c>
      <c r="L111" s="10">
        <f t="shared" si="12"/>
        <v>15027.808458446782</v>
      </c>
      <c r="M111" s="6">
        <f t="shared" si="1"/>
        <v>0.49999999999999994</v>
      </c>
      <c r="N111" s="6">
        <f t="shared" si="2"/>
        <v>0.25881904510252074</v>
      </c>
      <c r="O111" s="6">
        <f t="shared" si="16"/>
        <v>0.24118095489747921</v>
      </c>
      <c r="P111" s="10">
        <f t="shared" si="17"/>
        <v>350.58063603897574</v>
      </c>
      <c r="Q111" s="8">
        <f t="shared" si="5"/>
        <v>97.383510010826598</v>
      </c>
      <c r="R111" s="8">
        <f t="shared" si="6"/>
        <v>16.646229786898679</v>
      </c>
      <c r="T111" s="30">
        <f t="shared" si="13"/>
        <v>-1.1502428786164485E-2</v>
      </c>
      <c r="U111" s="30">
        <f t="shared" si="7"/>
        <v>8.3435076378410494E-2</v>
      </c>
      <c r="V111" s="27">
        <f t="shared" si="18"/>
        <v>-1.3131914425867459E-3</v>
      </c>
      <c r="W111" s="28">
        <f t="shared" si="9"/>
        <v>-0.86602540378443871</v>
      </c>
      <c r="X111" s="29">
        <f t="shared" si="0"/>
        <v>-4.5898150513828161E-3</v>
      </c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8:42" x14ac:dyDescent="0.25">
      <c r="H112">
        <f t="shared" si="10"/>
        <v>28</v>
      </c>
      <c r="I112" s="10">
        <f t="shared" si="11"/>
        <v>17251.060623574438</v>
      </c>
      <c r="J112" s="6">
        <f>PI()*(10/12+1/36)</f>
        <v>2.7052603405912108</v>
      </c>
      <c r="K112">
        <v>155</v>
      </c>
      <c r="L112" s="10">
        <f t="shared" si="12"/>
        <v>15584.393956907772</v>
      </c>
      <c r="M112" s="6">
        <f t="shared" si="1"/>
        <v>0.4226182617406995</v>
      </c>
      <c r="N112" s="6">
        <f t="shared" si="2"/>
        <v>0.25881904510252074</v>
      </c>
      <c r="O112" s="6">
        <f t="shared" si="16"/>
        <v>0.16379921663817876</v>
      </c>
      <c r="P112" s="10">
        <f t="shared" si="17"/>
        <v>238.09854130525662</v>
      </c>
      <c r="Q112" s="8">
        <f t="shared" si="5"/>
        <v>66.138483695904625</v>
      </c>
      <c r="R112" s="8">
        <f t="shared" si="6"/>
        <v>17.631106750803653</v>
      </c>
      <c r="T112" s="30">
        <f t="shared" si="13"/>
        <v>-8.8124448986550055E-3</v>
      </c>
      <c r="U112" s="30">
        <f t="shared" si="7"/>
        <v>4.4275444128134771E-2</v>
      </c>
      <c r="V112" s="27">
        <f t="shared" si="18"/>
        <v>-1.5164255155759477E-3</v>
      </c>
      <c r="W112" s="28">
        <f t="shared" si="9"/>
        <v>-0.90630778703664994</v>
      </c>
      <c r="X112" s="29">
        <f t="shared" si="0"/>
        <v>-2.9157169036439072E-3</v>
      </c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4:42" x14ac:dyDescent="0.25">
      <c r="H113">
        <f t="shared" si="10"/>
        <v>29</v>
      </c>
      <c r="I113" s="10">
        <f t="shared" si="11"/>
        <v>17807.646122035429</v>
      </c>
      <c r="J113" s="6">
        <f>PI()*(10/12+2/36)</f>
        <v>2.7925268031909276</v>
      </c>
      <c r="K113">
        <v>160</v>
      </c>
      <c r="L113" s="10">
        <f t="shared" si="12"/>
        <v>16140.979455368763</v>
      </c>
      <c r="M113" s="6">
        <f t="shared" si="1"/>
        <v>0.34202014332566849</v>
      </c>
      <c r="N113" s="6">
        <f t="shared" si="2"/>
        <v>0.25881904510252074</v>
      </c>
      <c r="O113" s="6">
        <f t="shared" si="16"/>
        <v>8.3201098223147751E-2</v>
      </c>
      <c r="P113" s="10">
        <f t="shared" si="17"/>
        <v>120.94111637716756</v>
      </c>
      <c r="Q113" s="8">
        <f t="shared" si="5"/>
        <v>33.594754549213214</v>
      </c>
      <c r="R113" s="8">
        <f t="shared" si="6"/>
        <v>19.245904861517335</v>
      </c>
      <c r="T113" s="30">
        <f t="shared" si="13"/>
        <v>-5.5981764549962948E-3</v>
      </c>
      <c r="U113" s="30">
        <f t="shared" si="7"/>
        <v>1.6469879437091859E-2</v>
      </c>
      <c r="V113" s="27">
        <f t="shared" si="18"/>
        <v>-1.7281070343583714E-3</v>
      </c>
      <c r="W113" s="28">
        <f t="shared" si="9"/>
        <v>-0.93969262078590843</v>
      </c>
      <c r="X113" s="29">
        <f t="shared" si="0"/>
        <v>-1.0138671743537915E-3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4:42" x14ac:dyDescent="0.25">
      <c r="H114">
        <f t="shared" si="10"/>
        <v>30</v>
      </c>
      <c r="I114" s="10">
        <f t="shared" si="11"/>
        <v>18364.231620496419</v>
      </c>
      <c r="J114" s="6">
        <f>PI()*(11/12)</f>
        <v>2.8797932657906435</v>
      </c>
      <c r="K114">
        <v>165</v>
      </c>
      <c r="L114" s="10">
        <f t="shared" si="12"/>
        <v>16697.564953829751</v>
      </c>
      <c r="M114" s="6">
        <f t="shared" si="1"/>
        <v>0.25881904510252102</v>
      </c>
      <c r="N114" s="6">
        <f t="shared" si="2"/>
        <v>0.25881904510252074</v>
      </c>
      <c r="O114" s="6">
        <f t="shared" si="16"/>
        <v>0</v>
      </c>
      <c r="P114" s="10">
        <f t="shared" si="17"/>
        <v>0</v>
      </c>
      <c r="Q114" s="8">
        <f t="shared" si="5"/>
        <v>0</v>
      </c>
      <c r="R114" s="8">
        <f t="shared" si="6"/>
        <v>24.039779585550566</v>
      </c>
      <c r="T114" s="30">
        <f t="shared" si="13"/>
        <v>-1.9466249747592799E-3</v>
      </c>
      <c r="U114" s="30">
        <f t="shared" si="7"/>
        <v>1.868759975768909E-3</v>
      </c>
      <c r="V114" s="27">
        <f t="shared" si="18"/>
        <v>-1.9466249747592855E-3</v>
      </c>
      <c r="W114" s="28">
        <f t="shared" si="9"/>
        <v>-0.9659258262890682</v>
      </c>
      <c r="X114" s="29">
        <f t="shared" si="0"/>
        <v>0</v>
      </c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4:42" x14ac:dyDescent="0.25">
      <c r="I115" s="10"/>
      <c r="J115" s="17">
        <f>PI()*(12/12)</f>
        <v>3.1415926535897931</v>
      </c>
      <c r="P115" s="10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4:42" x14ac:dyDescent="0.25">
      <c r="P116" s="10">
        <f>SUM(P84:P115)*2.4/3</f>
        <v>16697.523328782841</v>
      </c>
    </row>
    <row r="118" spans="4:42" x14ac:dyDescent="0.25">
      <c r="D118">
        <f>1-((1+SIN(PI()/12))/2)</f>
        <v>0.37059047744873963</v>
      </c>
      <c r="H118">
        <f t="shared" ref="H118" si="19">H117+1</f>
        <v>1</v>
      </c>
      <c r="I118" s="10">
        <f t="shared" ref="I118" si="20">I117+5/90*(2*PI()*6378/4)</f>
        <v>556.58549846099163</v>
      </c>
      <c r="J118" s="6">
        <v>0.97209999999999996</v>
      </c>
      <c r="K118">
        <v>55.7</v>
      </c>
      <c r="M118" s="6">
        <f t="shared" ref="M118" si="21">SIN(J118)</f>
        <v>0.82607102260901766</v>
      </c>
      <c r="N118" s="6">
        <f>SIN($J$84)</f>
        <v>0.25881904510252074</v>
      </c>
      <c r="O118" s="6">
        <f t="shared" ref="O118" si="22">M118-N118</f>
        <v>0.56725197750649692</v>
      </c>
      <c r="P118" s="10"/>
      <c r="Q118">
        <f>O118*$J$80</f>
        <v>824.55747450344381</v>
      </c>
    </row>
    <row r="120" spans="4:42" x14ac:dyDescent="0.25">
      <c r="E120">
        <f>COS(N84)*SIN(N84)</f>
        <v>0.24741452158859759</v>
      </c>
      <c r="J120">
        <f>SIN(M84)*COS(M84)/4</f>
        <v>6.1853630397149396E-2</v>
      </c>
      <c r="K120">
        <f>2*M84</f>
        <v>0.51763809020504148</v>
      </c>
      <c r="M120" s="14">
        <f>M84^2</f>
        <v>6.698729810778066E-2</v>
      </c>
      <c r="N120">
        <f>COS(M84)*SIN(M96)</f>
        <v>0.7951781364107533</v>
      </c>
    </row>
    <row r="121" spans="4:42" x14ac:dyDescent="0.25">
      <c r="J121">
        <f>PI()*5/48</f>
        <v>0.3272492347489368</v>
      </c>
      <c r="M121">
        <f>360/PI()</f>
        <v>114.59155902616465</v>
      </c>
    </row>
    <row r="122" spans="4:42" x14ac:dyDescent="0.25">
      <c r="M122">
        <f>M121*0.39</f>
        <v>44.690708020204212</v>
      </c>
    </row>
    <row r="123" spans="4:42" x14ac:dyDescent="0.25">
      <c r="J123">
        <f>SUM(J120:J122)</f>
        <v>0.38910286514608622</v>
      </c>
    </row>
    <row r="131" spans="3:6" x14ac:dyDescent="0.25">
      <c r="C131">
        <v>0</v>
      </c>
      <c r="D131">
        <v>0</v>
      </c>
      <c r="E131" s="6">
        <f>SIN(C131)</f>
        <v>0</v>
      </c>
      <c r="F131" s="6"/>
    </row>
    <row r="132" spans="3:6" x14ac:dyDescent="0.25">
      <c r="C132">
        <f>C131+5</f>
        <v>5</v>
      </c>
      <c r="D132" s="6">
        <f>PI()*(1/36)</f>
        <v>8.7266462599716474E-2</v>
      </c>
      <c r="E132" s="6">
        <f>SIN(D132)</f>
        <v>8.7155742747658166E-2</v>
      </c>
      <c r="F132" s="6"/>
    </row>
    <row r="133" spans="3:6" x14ac:dyDescent="0.25">
      <c r="C133">
        <f t="shared" ref="C133:C149" si="23">C132+5</f>
        <v>10</v>
      </c>
      <c r="D133" s="6">
        <f>PI()*(2/36)</f>
        <v>0.17453292519943295</v>
      </c>
      <c r="E133" s="6">
        <f t="shared" ref="E133:E149" si="24">SIN(D133)</f>
        <v>0.17364817766693033</v>
      </c>
      <c r="F133" s="6"/>
    </row>
    <row r="134" spans="3:6" x14ac:dyDescent="0.25">
      <c r="C134">
        <f t="shared" si="23"/>
        <v>15</v>
      </c>
      <c r="D134" s="6">
        <f>PI()*(1/12)</f>
        <v>0.26179938779914941</v>
      </c>
      <c r="E134" s="6">
        <f t="shared" si="24"/>
        <v>0.25881904510252074</v>
      </c>
      <c r="F134" s="6"/>
    </row>
    <row r="135" spans="3:6" x14ac:dyDescent="0.25">
      <c r="C135">
        <f t="shared" si="23"/>
        <v>20</v>
      </c>
      <c r="D135" s="6">
        <f>PI()*(1/12+1/36)</f>
        <v>0.3490658503988659</v>
      </c>
      <c r="E135" s="6">
        <f t="shared" si="24"/>
        <v>0.34202014332566871</v>
      </c>
      <c r="F135" s="6"/>
    </row>
    <row r="136" spans="3:6" x14ac:dyDescent="0.25">
      <c r="C136">
        <f t="shared" si="23"/>
        <v>25</v>
      </c>
      <c r="D136" s="6">
        <f>PI()*(1/12+2/36)</f>
        <v>0.43633231299858238</v>
      </c>
      <c r="E136" s="6">
        <f t="shared" si="24"/>
        <v>0.42261826174069944</v>
      </c>
      <c r="F136" s="6"/>
    </row>
    <row r="137" spans="3:6" x14ac:dyDescent="0.25">
      <c r="C137">
        <f t="shared" si="23"/>
        <v>30</v>
      </c>
      <c r="D137" s="6">
        <f>PI()*(2/12)</f>
        <v>0.52359877559829882</v>
      </c>
      <c r="E137" s="6">
        <f t="shared" si="24"/>
        <v>0.49999999999999994</v>
      </c>
      <c r="F137" s="6"/>
    </row>
    <row r="138" spans="3:6" x14ac:dyDescent="0.25">
      <c r="C138">
        <f t="shared" si="23"/>
        <v>35</v>
      </c>
      <c r="D138" s="6">
        <f>PI()*(2/12+1/36)</f>
        <v>0.6108652381980153</v>
      </c>
      <c r="E138" s="6">
        <f t="shared" si="24"/>
        <v>0.57357643635104605</v>
      </c>
      <c r="F138" s="6"/>
    </row>
    <row r="139" spans="3:6" x14ac:dyDescent="0.25">
      <c r="C139">
        <f t="shared" si="23"/>
        <v>40</v>
      </c>
      <c r="D139" s="6">
        <f>PI()*(2/12+2/36)</f>
        <v>0.69813170079773179</v>
      </c>
      <c r="E139" s="6">
        <f t="shared" si="24"/>
        <v>0.64278760968653925</v>
      </c>
      <c r="F139" s="6"/>
    </row>
    <row r="140" spans="3:6" x14ac:dyDescent="0.25">
      <c r="C140">
        <f t="shared" si="23"/>
        <v>45</v>
      </c>
      <c r="D140" s="6">
        <f>PI()*(3/12)</f>
        <v>0.78539816339744828</v>
      </c>
      <c r="E140" s="6">
        <f t="shared" si="24"/>
        <v>0.70710678118654746</v>
      </c>
      <c r="F140" s="6"/>
    </row>
    <row r="141" spans="3:6" x14ac:dyDescent="0.25">
      <c r="C141">
        <f t="shared" si="23"/>
        <v>50</v>
      </c>
      <c r="D141" s="6">
        <f>PI()*(3/12+1/36)</f>
        <v>0.87266462599716477</v>
      </c>
      <c r="E141" s="6">
        <f t="shared" si="24"/>
        <v>0.76604444311897801</v>
      </c>
      <c r="F141" s="6"/>
    </row>
    <row r="142" spans="3:6" x14ac:dyDescent="0.25">
      <c r="C142">
        <f t="shared" si="23"/>
        <v>55</v>
      </c>
      <c r="D142" s="6">
        <f>PI()*(3/12+2/36)</f>
        <v>0.95993108859688125</v>
      </c>
      <c r="E142" s="6">
        <f t="shared" si="24"/>
        <v>0.8191520442889918</v>
      </c>
      <c r="F142" s="6"/>
    </row>
    <row r="143" spans="3:6" x14ac:dyDescent="0.25">
      <c r="C143">
        <f t="shared" si="23"/>
        <v>60</v>
      </c>
      <c r="D143" s="6">
        <f>PI()*(4/12)</f>
        <v>1.0471975511965976</v>
      </c>
      <c r="E143" s="6">
        <f t="shared" si="24"/>
        <v>0.8660254037844386</v>
      </c>
      <c r="F143" s="6"/>
    </row>
    <row r="144" spans="3:6" x14ac:dyDescent="0.25">
      <c r="C144">
        <f t="shared" si="23"/>
        <v>65</v>
      </c>
      <c r="D144" s="6">
        <f>PI()*(4/12+1/36)</f>
        <v>1.1344640137963142</v>
      </c>
      <c r="E144" s="6">
        <f t="shared" si="24"/>
        <v>0.90630778703664994</v>
      </c>
      <c r="F144" s="6"/>
    </row>
    <row r="145" spans="2:37" x14ac:dyDescent="0.25">
      <c r="C145">
        <f t="shared" si="23"/>
        <v>70</v>
      </c>
      <c r="D145" s="6">
        <f>PI()*(4/12+2/36)</f>
        <v>1.2217304763960306</v>
      </c>
      <c r="E145" s="6">
        <f t="shared" si="24"/>
        <v>0.93969262078590832</v>
      </c>
      <c r="F145" s="6"/>
    </row>
    <row r="146" spans="2:37" x14ac:dyDescent="0.25">
      <c r="C146">
        <f t="shared" si="23"/>
        <v>75</v>
      </c>
      <c r="D146" s="6">
        <f>PI()*(5/12)</f>
        <v>1.3089969389957472</v>
      </c>
      <c r="E146" s="6">
        <f t="shared" si="24"/>
        <v>0.96592582628906831</v>
      </c>
      <c r="F146" s="6"/>
    </row>
    <row r="147" spans="2:37" x14ac:dyDescent="0.25">
      <c r="C147">
        <f t="shared" si="23"/>
        <v>80</v>
      </c>
      <c r="D147" s="6">
        <f>PI()*(5/12+1/36)</f>
        <v>1.3962634015954638</v>
      </c>
      <c r="E147" s="6">
        <f t="shared" si="24"/>
        <v>0.98480775301220813</v>
      </c>
      <c r="F147" s="6"/>
    </row>
    <row r="148" spans="2:37" x14ac:dyDescent="0.25">
      <c r="C148">
        <f t="shared" si="23"/>
        <v>85</v>
      </c>
      <c r="D148" s="6">
        <f>PI()*(5/12+2/36)</f>
        <v>1.48352986419518</v>
      </c>
      <c r="E148" s="6">
        <f t="shared" si="24"/>
        <v>0.99619469809174555</v>
      </c>
      <c r="F148" s="6"/>
    </row>
    <row r="149" spans="2:37" x14ac:dyDescent="0.25">
      <c r="C149">
        <f t="shared" si="23"/>
        <v>90</v>
      </c>
      <c r="D149" s="6">
        <f>PI()*(1/2)</f>
        <v>1.5707963267948966</v>
      </c>
      <c r="E149" s="6">
        <f t="shared" si="24"/>
        <v>1</v>
      </c>
      <c r="F149" s="6"/>
    </row>
    <row r="150" spans="2:37" ht="15.75" x14ac:dyDescent="0.25">
      <c r="D150" s="6"/>
      <c r="J150" t="s">
        <v>81</v>
      </c>
      <c r="L150" t="s">
        <v>101</v>
      </c>
      <c r="M150" s="25" t="s">
        <v>111</v>
      </c>
    </row>
    <row r="151" spans="2:37" x14ac:dyDescent="0.25">
      <c r="D151" s="6"/>
      <c r="J151" t="s">
        <v>84</v>
      </c>
      <c r="M151">
        <v>1453.6</v>
      </c>
    </row>
    <row r="152" spans="2:37" x14ac:dyDescent="0.25">
      <c r="D152" s="6"/>
      <c r="Q152" s="21" t="s">
        <v>102</v>
      </c>
      <c r="R152" s="19">
        <v>1.0805E-2</v>
      </c>
      <c r="T152" s="19">
        <v>1.02322205E-2</v>
      </c>
    </row>
    <row r="153" spans="2:37" x14ac:dyDescent="0.25">
      <c r="B153" t="s">
        <v>93</v>
      </c>
      <c r="C153" t="s">
        <v>94</v>
      </c>
      <c r="D153" s="6" t="s">
        <v>95</v>
      </c>
      <c r="E153" t="s">
        <v>105</v>
      </c>
      <c r="F153" t="s">
        <v>107</v>
      </c>
      <c r="G153" t="s">
        <v>103</v>
      </c>
      <c r="H153" t="s">
        <v>104</v>
      </c>
      <c r="I153" t="s">
        <v>106</v>
      </c>
      <c r="J153" t="s">
        <v>108</v>
      </c>
      <c r="K153" t="s">
        <v>112</v>
      </c>
      <c r="L153" t="s">
        <v>113</v>
      </c>
      <c r="M153" t="s">
        <v>115</v>
      </c>
      <c r="N153" t="s">
        <v>115</v>
      </c>
      <c r="Q153" s="21" t="s">
        <v>109</v>
      </c>
      <c r="R153" s="20"/>
    </row>
    <row r="154" spans="2:37" ht="23.25" x14ac:dyDescent="0.35">
      <c r="B154" s="10">
        <v>0</v>
      </c>
      <c r="C154">
        <v>0</v>
      </c>
      <c r="D154">
        <v>0</v>
      </c>
      <c r="E154" s="8">
        <v>0</v>
      </c>
      <c r="F154" s="8">
        <f>E154*(3600/1000)</f>
        <v>0</v>
      </c>
      <c r="G154" s="12">
        <f t="shared" ref="G154:G185" si="25">COS(J154)*$R$152</f>
        <v>1.0436828553053383E-2</v>
      </c>
      <c r="H154" s="10">
        <f>(15/360)*40000</f>
        <v>1666.6666666666665</v>
      </c>
      <c r="I154" s="7">
        <f>H154*1000</f>
        <v>1666666.6666666665</v>
      </c>
      <c r="J154" s="16">
        <f>(I154/20000000)*PI()</f>
        <v>0.26179938779914941</v>
      </c>
      <c r="K154" s="24">
        <f>H154-($I$154/1000)</f>
        <v>0</v>
      </c>
      <c r="L154" s="8">
        <f>K154*1000</f>
        <v>0</v>
      </c>
      <c r="M154" s="32">
        <f>G154/9.81</f>
        <v>1.063896896335717E-3</v>
      </c>
      <c r="N154" s="5">
        <f>G154/9.81</f>
        <v>1.063896896335717E-3</v>
      </c>
      <c r="O154" s="33"/>
      <c r="P154" s="33"/>
      <c r="Q154" s="21" t="s">
        <v>110</v>
      </c>
      <c r="R154" s="23">
        <f>G226</f>
        <v>-1.4272634362667665E-8</v>
      </c>
      <c r="S154" s="34"/>
      <c r="T154" s="36" t="s">
        <v>114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2:37" ht="15.75" x14ac:dyDescent="0.25">
      <c r="B155" s="10">
        <f>B154+1</f>
        <v>1</v>
      </c>
      <c r="C155" s="7">
        <f>B155/60</f>
        <v>1.6666666666666666E-2</v>
      </c>
      <c r="D155" s="15">
        <f>C155/60</f>
        <v>2.7777777777777778E-4</v>
      </c>
      <c r="E155" s="8">
        <f>E154+(G155*(B155-B154))</f>
        <v>1.0436828550761041E-2</v>
      </c>
      <c r="F155" s="8">
        <f t="shared" ref="F155:F218" si="26">E155*(3600/1000)</f>
        <v>3.7572582782739748E-2</v>
      </c>
      <c r="G155" s="12">
        <f t="shared" si="25"/>
        <v>1.0436828550761041E-2</v>
      </c>
      <c r="H155" s="10">
        <f>I155/1000</f>
        <v>1666.6666718850809</v>
      </c>
      <c r="I155" s="7">
        <f>I154+(E154*(B155-B154))+((G154*(((B155-B154)^2)/2)))</f>
        <v>1666666.6718850809</v>
      </c>
      <c r="J155" s="16">
        <f t="shared" ref="J155:J218" si="27">(I155/20000000)*PI()</f>
        <v>0.26179938861885599</v>
      </c>
      <c r="K155" s="24">
        <f t="shared" ref="K155:K218" si="28">H155-($I$154/1000)</f>
        <v>5.2184143441991182E-6</v>
      </c>
      <c r="L155" s="8">
        <f t="shared" ref="L155:L190" si="29">K155*1000</f>
        <v>5.2184143441991182E-3</v>
      </c>
      <c r="M155" s="32">
        <f t="shared" ref="M155:M190" si="30">G155/9.81</f>
        <v>1.063896896102043E-3</v>
      </c>
      <c r="N155" s="5">
        <f t="shared" ref="N155:N218" si="31">G155/9.81</f>
        <v>1.063896896102043E-3</v>
      </c>
      <c r="O155" s="33"/>
      <c r="P155" s="33"/>
      <c r="Q155" s="34"/>
      <c r="R155" s="37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2:37" ht="15.75" x14ac:dyDescent="0.25">
      <c r="B156" s="10">
        <f t="shared" ref="B156:B184" si="32">B155+1</f>
        <v>2</v>
      </c>
      <c r="C156" s="7">
        <f t="shared" ref="C156:D156" si="33">B156/60</f>
        <v>3.3333333333333333E-2</v>
      </c>
      <c r="D156" s="15">
        <f t="shared" si="33"/>
        <v>5.5555555555555556E-4</v>
      </c>
      <c r="E156" s="8">
        <f t="shared" ref="E156:E219" si="34">E155+(G156*(B156-B155))</f>
        <v>2.0873657094645056E-2</v>
      </c>
      <c r="F156" s="8">
        <f t="shared" si="26"/>
        <v>7.5145165540722203E-2</v>
      </c>
      <c r="G156" s="12">
        <f t="shared" si="25"/>
        <v>1.0436828543884015E-2</v>
      </c>
      <c r="H156" s="10">
        <f t="shared" ref="H156:H219" si="35">I156/1000</f>
        <v>1666.6666875403237</v>
      </c>
      <c r="I156" s="7">
        <f t="shared" ref="I156:I219" si="36">I155+(E155*(B156-B155))+((G155*(((B156-B155)^2)/2)))</f>
        <v>1666666.6875403237</v>
      </c>
      <c r="J156" s="16">
        <f t="shared" si="27"/>
        <v>0.26179939107797584</v>
      </c>
      <c r="K156" s="24">
        <f t="shared" si="28"/>
        <v>2.0873657149422797E-5</v>
      </c>
      <c r="L156" s="8">
        <f t="shared" si="29"/>
        <v>2.0873657149422797E-2</v>
      </c>
      <c r="M156" s="32">
        <f t="shared" si="30"/>
        <v>1.0638968954010208E-3</v>
      </c>
      <c r="N156" s="5">
        <f t="shared" si="31"/>
        <v>1.0638968954010208E-3</v>
      </c>
      <c r="O156" s="33"/>
      <c r="P156" s="33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2:37" ht="15.75" x14ac:dyDescent="0.25">
      <c r="B157" s="10">
        <f t="shared" si="32"/>
        <v>3</v>
      </c>
      <c r="C157" s="7">
        <f t="shared" ref="C157:D157" si="37">B157/60</f>
        <v>0.05</v>
      </c>
      <c r="D157" s="15">
        <f t="shared" si="37"/>
        <v>8.3333333333333339E-4</v>
      </c>
      <c r="E157" s="8">
        <f t="shared" si="34"/>
        <v>3.1310485627067355E-2</v>
      </c>
      <c r="F157" s="8">
        <f t="shared" si="26"/>
        <v>0.11271774825744248</v>
      </c>
      <c r="G157" s="12">
        <f t="shared" si="25"/>
        <v>1.0436828532422303E-2</v>
      </c>
      <c r="H157" s="10">
        <f t="shared" si="35"/>
        <v>1666.6667136323952</v>
      </c>
      <c r="I157" s="7">
        <f t="shared" si="36"/>
        <v>1666666.7136323953</v>
      </c>
      <c r="J157" s="16">
        <f t="shared" si="27"/>
        <v>0.26179939517650885</v>
      </c>
      <c r="K157" s="24">
        <f t="shared" si="28"/>
        <v>4.6965728643044713E-5</v>
      </c>
      <c r="L157" s="8">
        <f t="shared" si="29"/>
        <v>4.6965728643044713E-2</v>
      </c>
      <c r="M157" s="32">
        <f t="shared" si="30"/>
        <v>1.0638968942326505E-3</v>
      </c>
      <c r="N157" s="5">
        <f t="shared" si="31"/>
        <v>1.0638968942326505E-3</v>
      </c>
      <c r="O157" s="33"/>
      <c r="P157" s="33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2:37" ht="15.75" x14ac:dyDescent="0.25">
      <c r="B158" s="10">
        <f t="shared" si="32"/>
        <v>4</v>
      </c>
      <c r="C158" s="7">
        <f t="shared" ref="C158:D158" si="38">B158/60</f>
        <v>6.6666666666666666E-2</v>
      </c>
      <c r="D158" s="15">
        <f t="shared" si="38"/>
        <v>1.1111111111111111E-3</v>
      </c>
      <c r="E158" s="8">
        <f t="shared" si="34"/>
        <v>4.1747314143443265E-2</v>
      </c>
      <c r="F158" s="8">
        <f t="shared" si="26"/>
        <v>0.15029033091639576</v>
      </c>
      <c r="G158" s="12">
        <f t="shared" si="25"/>
        <v>1.0436828516375908E-2</v>
      </c>
      <c r="H158" s="10">
        <f t="shared" si="35"/>
        <v>1666.6667501612953</v>
      </c>
      <c r="I158" s="7">
        <f t="shared" si="36"/>
        <v>1666666.7501612953</v>
      </c>
      <c r="J158" s="16">
        <f t="shared" si="27"/>
        <v>0.26179940091445503</v>
      </c>
      <c r="K158" s="24">
        <f t="shared" si="28"/>
        <v>8.3494628825064865E-5</v>
      </c>
      <c r="L158" s="8">
        <f t="shared" si="29"/>
        <v>8.3494628825064865E-2</v>
      </c>
      <c r="M158" s="32">
        <f t="shared" si="30"/>
        <v>1.0638968925969325E-3</v>
      </c>
      <c r="N158" s="5">
        <f t="shared" si="31"/>
        <v>1.0638968925969325E-3</v>
      </c>
      <c r="O158" s="33"/>
      <c r="P158" s="33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2:37" ht="15.75" x14ac:dyDescent="0.25">
      <c r="B159" s="10">
        <f t="shared" si="32"/>
        <v>5</v>
      </c>
      <c r="C159" s="7">
        <f t="shared" ref="C159:D159" si="39">B159/60</f>
        <v>8.3333333333333329E-2</v>
      </c>
      <c r="D159" s="15">
        <f t="shared" si="39"/>
        <v>1.3888888888888887E-3</v>
      </c>
      <c r="E159" s="8">
        <f t="shared" si="34"/>
        <v>5.2184142639188094E-2</v>
      </c>
      <c r="F159" s="8">
        <f t="shared" si="26"/>
        <v>0.18786291350107714</v>
      </c>
      <c r="G159" s="12">
        <f t="shared" si="25"/>
        <v>1.0436828495744828E-2</v>
      </c>
      <c r="H159" s="10">
        <f t="shared" si="35"/>
        <v>1666.6667971270238</v>
      </c>
      <c r="I159" s="7">
        <f t="shared" si="36"/>
        <v>1666666.7971270238</v>
      </c>
      <c r="J159" s="16">
        <f t="shared" si="27"/>
        <v>0.26179940829181442</v>
      </c>
      <c r="K159" s="24">
        <f t="shared" si="28"/>
        <v>1.304603572407359E-4</v>
      </c>
      <c r="L159" s="8">
        <f t="shared" si="29"/>
        <v>0.1304603572407359</v>
      </c>
      <c r="M159" s="32">
        <f t="shared" si="30"/>
        <v>1.0638968904938661E-3</v>
      </c>
      <c r="N159" s="5">
        <f t="shared" si="31"/>
        <v>1.0638968904938661E-3</v>
      </c>
      <c r="O159" s="33"/>
      <c r="P159" s="33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2:37" ht="15.75" x14ac:dyDescent="0.25">
      <c r="B160" s="10">
        <f t="shared" si="32"/>
        <v>6</v>
      </c>
      <c r="C160" s="7">
        <f t="shared" ref="C160:D160" si="40">B160/60</f>
        <v>0.1</v>
      </c>
      <c r="D160" s="15">
        <f t="shared" si="40"/>
        <v>1.6666666666666668E-3</v>
      </c>
      <c r="E160" s="8">
        <f t="shared" si="34"/>
        <v>6.262097110971715E-2</v>
      </c>
      <c r="F160" s="8">
        <f t="shared" si="26"/>
        <v>0.22543549599498175</v>
      </c>
      <c r="G160" s="12">
        <f t="shared" si="25"/>
        <v>1.0436828470529062E-2</v>
      </c>
      <c r="H160" s="10">
        <f t="shared" si="35"/>
        <v>1666.6668545295809</v>
      </c>
      <c r="I160" s="7">
        <f t="shared" si="36"/>
        <v>1666666.8545295808</v>
      </c>
      <c r="J160" s="16">
        <f t="shared" si="27"/>
        <v>0.26179941730858697</v>
      </c>
      <c r="K160" s="24">
        <f t="shared" si="28"/>
        <v>1.8786291434480518E-4</v>
      </c>
      <c r="L160" s="8">
        <f t="shared" si="29"/>
        <v>0.18786291434480518</v>
      </c>
      <c r="M160" s="32">
        <f t="shared" si="30"/>
        <v>1.0638968879234517E-3</v>
      </c>
      <c r="N160" s="5">
        <f t="shared" si="31"/>
        <v>1.0638968879234517E-3</v>
      </c>
      <c r="O160" s="33"/>
      <c r="P160" s="33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2:37" ht="15.75" x14ac:dyDescent="0.25">
      <c r="B161" s="10">
        <f t="shared" si="32"/>
        <v>7</v>
      </c>
      <c r="C161" s="7">
        <f t="shared" ref="C161:D161" si="41">B161/60</f>
        <v>0.11666666666666667</v>
      </c>
      <c r="D161" s="15">
        <f t="shared" si="41"/>
        <v>1.9444444444444444E-3</v>
      </c>
      <c r="E161" s="8">
        <f t="shared" si="34"/>
        <v>7.3057799550445765E-2</v>
      </c>
      <c r="F161" s="8">
        <f t="shared" si="26"/>
        <v>0.26300807838160478</v>
      </c>
      <c r="G161" s="12">
        <f t="shared" si="25"/>
        <v>1.0436828440728612E-2</v>
      </c>
      <c r="H161" s="10">
        <f t="shared" si="35"/>
        <v>1666.666922368966</v>
      </c>
      <c r="I161" s="7">
        <f t="shared" si="36"/>
        <v>1666666.922368966</v>
      </c>
      <c r="J161" s="16">
        <f t="shared" si="27"/>
        <v>0.26179942796477268</v>
      </c>
      <c r="K161" s="24">
        <f t="shared" si="28"/>
        <v>2.5570229945515166E-4</v>
      </c>
      <c r="L161" s="8">
        <f t="shared" si="29"/>
        <v>0.25570229945515166</v>
      </c>
      <c r="M161" s="32">
        <f t="shared" si="30"/>
        <v>1.0638968848856892E-3</v>
      </c>
      <c r="N161" s="5">
        <f t="shared" si="31"/>
        <v>1.0638968848856892E-3</v>
      </c>
      <c r="O161" s="33"/>
      <c r="P161" s="33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2:37" ht="15.75" x14ac:dyDescent="0.25">
      <c r="B162" s="10">
        <f t="shared" si="32"/>
        <v>8</v>
      </c>
      <c r="C162" s="7">
        <f t="shared" ref="C162:D162" si="42">B162/60</f>
        <v>0.13333333333333333</v>
      </c>
      <c r="D162" s="15">
        <f t="shared" si="42"/>
        <v>2.2222222222222222E-3</v>
      </c>
      <c r="E162" s="8">
        <f t="shared" si="34"/>
        <v>8.3494627956789247E-2</v>
      </c>
      <c r="F162" s="8">
        <f t="shared" si="26"/>
        <v>0.30058066064444128</v>
      </c>
      <c r="G162" s="12">
        <f t="shared" si="25"/>
        <v>1.0436828406343475E-2</v>
      </c>
      <c r="H162" s="10">
        <f t="shared" si="35"/>
        <v>1666.6670006451798</v>
      </c>
      <c r="I162" s="7">
        <f t="shared" si="36"/>
        <v>1666667.0006451798</v>
      </c>
      <c r="J162" s="16">
        <f t="shared" si="27"/>
        <v>0.26179944026037161</v>
      </c>
      <c r="K162" s="24">
        <f t="shared" si="28"/>
        <v>3.3397851325389638E-4</v>
      </c>
      <c r="L162" s="8">
        <f t="shared" si="29"/>
        <v>0.33397851325389638</v>
      </c>
      <c r="M162" s="32">
        <f t="shared" si="30"/>
        <v>1.0638968813805785E-3</v>
      </c>
      <c r="N162" s="5">
        <f t="shared" si="31"/>
        <v>1.0638968813805785E-3</v>
      </c>
      <c r="O162" s="33"/>
      <c r="P162" s="33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2:37" ht="15.75" x14ac:dyDescent="0.25">
      <c r="B163" s="10">
        <f t="shared" si="32"/>
        <v>9</v>
      </c>
      <c r="C163" s="7">
        <f t="shared" ref="C163:D163" si="43">B163/60</f>
        <v>0.15</v>
      </c>
      <c r="D163" s="15">
        <f t="shared" si="43"/>
        <v>2.5000000000000001E-3</v>
      </c>
      <c r="E163" s="8">
        <f t="shared" si="34"/>
        <v>9.3931456324162901E-2</v>
      </c>
      <c r="F163" s="8">
        <f t="shared" si="26"/>
        <v>0.33815324276698644</v>
      </c>
      <c r="G163" s="12">
        <f t="shared" si="25"/>
        <v>1.0436828367373649E-2</v>
      </c>
      <c r="H163" s="10">
        <f t="shared" si="35"/>
        <v>1666.6670893582218</v>
      </c>
      <c r="I163" s="7">
        <f t="shared" si="36"/>
        <v>1666667.0893582217</v>
      </c>
      <c r="J163" s="16">
        <f t="shared" si="27"/>
        <v>0.26179945419538364</v>
      </c>
      <c r="K163" s="24">
        <f t="shared" si="28"/>
        <v>4.2269155528629199E-4</v>
      </c>
      <c r="L163" s="8">
        <f t="shared" si="29"/>
        <v>0.42269155528629199</v>
      </c>
      <c r="M163" s="32">
        <f t="shared" si="30"/>
        <v>1.0638968774081192E-3</v>
      </c>
      <c r="N163" s="5">
        <f t="shared" si="31"/>
        <v>1.0638968774081192E-3</v>
      </c>
      <c r="O163" s="33"/>
      <c r="P163" s="33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2:37" ht="15.75" x14ac:dyDescent="0.25">
      <c r="B164" s="10">
        <f t="shared" si="32"/>
        <v>10</v>
      </c>
      <c r="C164" s="7">
        <f t="shared" ref="C164:D164" si="44">B164/60</f>
        <v>0.16666666666666666</v>
      </c>
      <c r="D164" s="15">
        <f t="shared" si="44"/>
        <v>2.7777777777777775E-3</v>
      </c>
      <c r="E164" s="8">
        <f t="shared" si="34"/>
        <v>0.10436828464798203</v>
      </c>
      <c r="F164" s="8">
        <f t="shared" si="26"/>
        <v>0.37572582473273536</v>
      </c>
      <c r="G164" s="12">
        <f t="shared" si="25"/>
        <v>1.0436828323819139E-2</v>
      </c>
      <c r="H164" s="10">
        <f t="shared" si="35"/>
        <v>1666.6671885080923</v>
      </c>
      <c r="I164" s="7">
        <f t="shared" si="36"/>
        <v>1666667.1885080922</v>
      </c>
      <c r="J164" s="16">
        <f t="shared" si="27"/>
        <v>0.26179946976980889</v>
      </c>
      <c r="K164" s="24">
        <f t="shared" si="28"/>
        <v>5.2184142577971215E-4</v>
      </c>
      <c r="L164" s="8">
        <f t="shared" si="29"/>
        <v>0.52184142577971215</v>
      </c>
      <c r="M164" s="32">
        <f t="shared" si="30"/>
        <v>1.0638968729683117E-3</v>
      </c>
      <c r="N164" s="5">
        <f t="shared" si="31"/>
        <v>1.0638968729683117E-3</v>
      </c>
      <c r="O164" s="33"/>
      <c r="P164" s="33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2:37" ht="15.75" x14ac:dyDescent="0.25">
      <c r="B165" s="10">
        <f t="shared" si="32"/>
        <v>11</v>
      </c>
      <c r="C165" s="7">
        <f t="shared" ref="C165:D165" si="45">B165/60</f>
        <v>0.18333333333333332</v>
      </c>
      <c r="D165" s="15">
        <f t="shared" si="45"/>
        <v>3.0555555555555553E-3</v>
      </c>
      <c r="E165" s="8">
        <f t="shared" si="34"/>
        <v>0.11480511292366197</v>
      </c>
      <c r="F165" s="8">
        <f t="shared" si="26"/>
        <v>0.41329840652518307</v>
      </c>
      <c r="G165" s="12">
        <f t="shared" si="25"/>
        <v>1.0436828275679938E-2</v>
      </c>
      <c r="H165" s="10">
        <f t="shared" si="35"/>
        <v>1666.6672980947908</v>
      </c>
      <c r="I165" s="7">
        <f t="shared" si="36"/>
        <v>1666667.2980947909</v>
      </c>
      <c r="J165" s="16">
        <f t="shared" si="27"/>
        <v>0.26179948698364724</v>
      </c>
      <c r="K165" s="24">
        <f t="shared" si="28"/>
        <v>6.3142812427940953E-4</v>
      </c>
      <c r="L165" s="8">
        <f t="shared" si="29"/>
        <v>0.63142812427940953</v>
      </c>
      <c r="M165" s="32">
        <f t="shared" si="30"/>
        <v>1.0638968680611557E-3</v>
      </c>
      <c r="N165" s="5">
        <f t="shared" si="31"/>
        <v>1.0638968680611557E-3</v>
      </c>
      <c r="O165" s="33"/>
      <c r="P165" s="33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2:37" ht="15.75" x14ac:dyDescent="0.25">
      <c r="B166" s="10">
        <f t="shared" si="32"/>
        <v>12</v>
      </c>
      <c r="C166" s="7">
        <f t="shared" ref="C166:D166" si="46">B166/60</f>
        <v>0.2</v>
      </c>
      <c r="D166" s="15">
        <f t="shared" si="46"/>
        <v>3.3333333333333335E-3</v>
      </c>
      <c r="E166" s="8">
        <f t="shared" si="34"/>
        <v>0.12524194114661802</v>
      </c>
      <c r="F166" s="8">
        <f t="shared" si="26"/>
        <v>0.45087098812782489</v>
      </c>
      <c r="G166" s="12">
        <f t="shared" si="25"/>
        <v>1.0436828222956048E-2</v>
      </c>
      <c r="H166" s="10">
        <f t="shared" si="35"/>
        <v>1666.6674181183178</v>
      </c>
      <c r="I166" s="7">
        <f t="shared" si="36"/>
        <v>1666667.4181183178</v>
      </c>
      <c r="J166" s="16">
        <f t="shared" si="27"/>
        <v>0.26179950583689876</v>
      </c>
      <c r="K166" s="24">
        <f t="shared" si="28"/>
        <v>7.5145165124013147E-4</v>
      </c>
      <c r="L166" s="8">
        <f t="shared" si="29"/>
        <v>0.75145165124013147</v>
      </c>
      <c r="M166" s="32">
        <f t="shared" si="30"/>
        <v>1.0638968626866512E-3</v>
      </c>
      <c r="N166" s="5">
        <f t="shared" si="31"/>
        <v>1.0638968626866512E-3</v>
      </c>
      <c r="O166" s="33"/>
      <c r="P166" s="33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2:37" ht="15.75" x14ac:dyDescent="0.25">
      <c r="B167" s="10">
        <f t="shared" si="32"/>
        <v>13</v>
      </c>
      <c r="C167" s="7">
        <f t="shared" ref="C167:D167" si="47">B167/60</f>
        <v>0.21666666666666667</v>
      </c>
      <c r="D167" s="15">
        <f t="shared" si="47"/>
        <v>3.6111111111111114E-3</v>
      </c>
      <c r="E167" s="8">
        <f t="shared" si="34"/>
        <v>0.1356787693122655</v>
      </c>
      <c r="F167" s="8">
        <f t="shared" si="26"/>
        <v>0.4884435695241558</v>
      </c>
      <c r="G167" s="12">
        <f t="shared" si="25"/>
        <v>1.043682816564747E-2</v>
      </c>
      <c r="H167" s="10">
        <f t="shared" si="35"/>
        <v>1666.6675485786729</v>
      </c>
      <c r="I167" s="7">
        <f t="shared" si="36"/>
        <v>1666667.548578673</v>
      </c>
      <c r="J167" s="16">
        <f t="shared" si="27"/>
        <v>0.26179952632956344</v>
      </c>
      <c r="K167" s="24">
        <f t="shared" si="28"/>
        <v>8.8191200643450429E-4</v>
      </c>
      <c r="L167" s="8">
        <f t="shared" si="29"/>
        <v>0.88191200643450429</v>
      </c>
      <c r="M167" s="32">
        <f t="shared" si="30"/>
        <v>1.0638968568447982E-3</v>
      </c>
      <c r="N167" s="5">
        <f t="shared" si="31"/>
        <v>1.0638968568447982E-3</v>
      </c>
      <c r="O167" s="33"/>
      <c r="P167" s="33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2:37" ht="15.75" x14ac:dyDescent="0.25">
      <c r="B168" s="10">
        <f t="shared" si="32"/>
        <v>14</v>
      </c>
      <c r="C168" s="7">
        <f t="shared" ref="C168:D168" si="48">B168/60</f>
        <v>0.23333333333333334</v>
      </c>
      <c r="D168" s="15">
        <f t="shared" si="48"/>
        <v>3.8888888888888888E-3</v>
      </c>
      <c r="E168" s="8">
        <f t="shared" si="34"/>
        <v>0.1461155974160197</v>
      </c>
      <c r="F168" s="8">
        <f t="shared" si="26"/>
        <v>0.52601615069767094</v>
      </c>
      <c r="G168" s="12">
        <f t="shared" si="25"/>
        <v>1.0436828103754198E-2</v>
      </c>
      <c r="H168" s="10">
        <f t="shared" si="35"/>
        <v>1666.6676894758564</v>
      </c>
      <c r="I168" s="7">
        <f t="shared" si="36"/>
        <v>1666667.6894758565</v>
      </c>
      <c r="J168" s="16">
        <f t="shared" si="27"/>
        <v>0.26179954846164127</v>
      </c>
      <c r="K168" s="24">
        <f t="shared" si="28"/>
        <v>1.022809189862528E-3</v>
      </c>
      <c r="L168" s="8">
        <f t="shared" si="29"/>
        <v>1.022809189862528</v>
      </c>
      <c r="M168" s="32">
        <f t="shared" si="30"/>
        <v>1.0638968505355961E-3</v>
      </c>
      <c r="N168" s="5">
        <f t="shared" si="31"/>
        <v>1.0638968505355961E-3</v>
      </c>
      <c r="O168" s="33"/>
      <c r="P168" s="33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2:37" ht="15.75" x14ac:dyDescent="0.25">
      <c r="B169" s="10">
        <f t="shared" si="32"/>
        <v>15</v>
      </c>
      <c r="C169" s="7">
        <f t="shared" ref="C169:D169" si="49">B169/60</f>
        <v>0.25</v>
      </c>
      <c r="D169" s="15">
        <f t="shared" si="49"/>
        <v>4.1666666666666666E-3</v>
      </c>
      <c r="E169" s="8">
        <f t="shared" si="34"/>
        <v>0.15655242545329595</v>
      </c>
      <c r="F169" s="8">
        <f t="shared" si="26"/>
        <v>0.5635887316318654</v>
      </c>
      <c r="G169" s="12">
        <f t="shared" si="25"/>
        <v>1.0436828037276236E-2</v>
      </c>
      <c r="H169" s="10">
        <f t="shared" si="35"/>
        <v>1666.667840809868</v>
      </c>
      <c r="I169" s="7">
        <f t="shared" si="36"/>
        <v>1666667.840809868</v>
      </c>
      <c r="J169" s="16">
        <f t="shared" si="27"/>
        <v>0.26179957223313216</v>
      </c>
      <c r="K169" s="24">
        <f t="shared" si="28"/>
        <v>1.1741432015242026E-3</v>
      </c>
      <c r="L169" s="8">
        <f t="shared" si="29"/>
        <v>1.1741432015242026</v>
      </c>
      <c r="M169" s="32">
        <f t="shared" si="30"/>
        <v>1.0638968437590454E-3</v>
      </c>
      <c r="N169" s="5">
        <f t="shared" si="31"/>
        <v>1.0638968437590454E-3</v>
      </c>
      <c r="O169" s="33"/>
      <c r="P169" s="33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2:37" ht="15.75" x14ac:dyDescent="0.25">
      <c r="B170" s="10">
        <f t="shared" si="32"/>
        <v>16</v>
      </c>
      <c r="C170" s="7">
        <f t="shared" ref="C170:D170" si="50">B170/60</f>
        <v>0.26666666666666666</v>
      </c>
      <c r="D170" s="15">
        <f t="shared" si="50"/>
        <v>4.4444444444444444E-3</v>
      </c>
      <c r="E170" s="8">
        <f t="shared" si="34"/>
        <v>0.16698925341950954</v>
      </c>
      <c r="F170" s="8">
        <f t="shared" si="26"/>
        <v>0.6011613123102344</v>
      </c>
      <c r="G170" s="12">
        <f t="shared" si="25"/>
        <v>1.0436827966213579E-2</v>
      </c>
      <c r="H170" s="10">
        <f t="shared" si="35"/>
        <v>1666.6680025807075</v>
      </c>
      <c r="I170" s="7">
        <f t="shared" si="36"/>
        <v>1666668.0025807074</v>
      </c>
      <c r="J170" s="16">
        <f t="shared" si="27"/>
        <v>0.26179959764403621</v>
      </c>
      <c r="K170" s="24">
        <f t="shared" si="28"/>
        <v>1.3359140409647807E-3</v>
      </c>
      <c r="L170" s="8">
        <f t="shared" si="29"/>
        <v>1.3359140409647807</v>
      </c>
      <c r="M170" s="32">
        <f t="shared" si="30"/>
        <v>1.0638968365151455E-3</v>
      </c>
      <c r="N170" s="5">
        <f t="shared" si="31"/>
        <v>1.0638968365151455E-3</v>
      </c>
      <c r="O170" s="33"/>
      <c r="P170" s="33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2:37" ht="15.75" x14ac:dyDescent="0.25">
      <c r="B171" s="10">
        <f t="shared" si="32"/>
        <v>17</v>
      </c>
      <c r="C171" s="7">
        <f t="shared" ref="C171:D171" si="51">B171/60</f>
        <v>0.28333333333333333</v>
      </c>
      <c r="D171" s="15">
        <f t="shared" si="51"/>
        <v>4.7222222222222223E-3</v>
      </c>
      <c r="E171" s="8">
        <f t="shared" si="34"/>
        <v>0.17742608131007578</v>
      </c>
      <c r="F171" s="8">
        <f t="shared" si="26"/>
        <v>0.63873389271627279</v>
      </c>
      <c r="G171" s="12">
        <f t="shared" si="25"/>
        <v>1.0436827890566229E-2</v>
      </c>
      <c r="H171" s="10">
        <f t="shared" si="35"/>
        <v>1666.6681747883747</v>
      </c>
      <c r="I171" s="7">
        <f t="shared" si="36"/>
        <v>1666668.1747883747</v>
      </c>
      <c r="J171" s="16">
        <f t="shared" si="27"/>
        <v>0.26179962469435336</v>
      </c>
      <c r="K171" s="24">
        <f t="shared" si="28"/>
        <v>1.5081217081842624E-3</v>
      </c>
      <c r="L171" s="8">
        <f t="shared" si="29"/>
        <v>1.5081217081842624</v>
      </c>
      <c r="M171" s="32">
        <f t="shared" si="30"/>
        <v>1.063896828803897E-3</v>
      </c>
      <c r="N171" s="5">
        <f t="shared" si="31"/>
        <v>1.063896828803897E-3</v>
      </c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2:37" ht="15.75" x14ac:dyDescent="0.25">
      <c r="B172" s="10">
        <f t="shared" si="32"/>
        <v>18</v>
      </c>
      <c r="C172" s="7">
        <f t="shared" ref="C172:D172" si="52">B172/60</f>
        <v>0.3</v>
      </c>
      <c r="D172" s="15">
        <f t="shared" si="52"/>
        <v>5.0000000000000001E-3</v>
      </c>
      <c r="E172" s="8">
        <f t="shared" si="34"/>
        <v>0.18786290912040995</v>
      </c>
      <c r="F172" s="8">
        <f t="shared" si="26"/>
        <v>0.67630647283347589</v>
      </c>
      <c r="G172" s="12">
        <f t="shared" si="25"/>
        <v>1.0436827810334181E-2</v>
      </c>
      <c r="H172" s="10">
        <f t="shared" si="35"/>
        <v>1666.6683574328699</v>
      </c>
      <c r="I172" s="7">
        <f t="shared" si="36"/>
        <v>1666668.35743287</v>
      </c>
      <c r="J172" s="16">
        <f t="shared" si="27"/>
        <v>0.26179965338408362</v>
      </c>
      <c r="K172" s="24">
        <f t="shared" si="28"/>
        <v>1.6907662034100213E-3</v>
      </c>
      <c r="L172" s="8">
        <f t="shared" si="29"/>
        <v>1.6907662034100213</v>
      </c>
      <c r="M172" s="32">
        <f t="shared" si="30"/>
        <v>1.0638968206252988E-3</v>
      </c>
      <c r="N172" s="5">
        <f t="shared" si="31"/>
        <v>1.0638968206252988E-3</v>
      </c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2:37" ht="15.75" x14ac:dyDescent="0.25">
      <c r="B173" s="10">
        <f t="shared" si="32"/>
        <v>19</v>
      </c>
      <c r="C173" s="7">
        <f t="shared" ref="C173:D173" si="53">B173/60</f>
        <v>0.31666666666666665</v>
      </c>
      <c r="D173" s="15">
        <f t="shared" si="53"/>
        <v>5.2777777777777779E-3</v>
      </c>
      <c r="E173" s="8">
        <f t="shared" si="34"/>
        <v>0.19829973684592739</v>
      </c>
      <c r="F173" s="8">
        <f t="shared" si="26"/>
        <v>0.71387905264533857</v>
      </c>
      <c r="G173" s="12">
        <f t="shared" si="25"/>
        <v>1.0436827725517437E-2</v>
      </c>
      <c r="H173" s="10">
        <f t="shared" si="35"/>
        <v>1666.6685505141929</v>
      </c>
      <c r="I173" s="7">
        <f t="shared" si="36"/>
        <v>1666668.550514193</v>
      </c>
      <c r="J173" s="16">
        <f t="shared" si="27"/>
        <v>0.26179968371322687</v>
      </c>
      <c r="K173" s="24">
        <f t="shared" si="28"/>
        <v>1.8838475264146837E-3</v>
      </c>
      <c r="L173" s="8">
        <f t="shared" si="29"/>
        <v>1.8838475264146837</v>
      </c>
      <c r="M173" s="32">
        <f t="shared" si="30"/>
        <v>1.0638968119793513E-3</v>
      </c>
      <c r="N173" s="5">
        <f t="shared" si="31"/>
        <v>1.0638968119793513E-3</v>
      </c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2:37" ht="15.75" x14ac:dyDescent="0.25">
      <c r="B174" s="10">
        <f t="shared" si="32"/>
        <v>20</v>
      </c>
      <c r="C174" s="7">
        <f t="shared" ref="C174:D174" si="54">B174/60</f>
        <v>0.33333333333333331</v>
      </c>
      <c r="D174" s="15">
        <f t="shared" si="54"/>
        <v>5.5555555555555549E-3</v>
      </c>
      <c r="E174" s="8">
        <f t="shared" si="34"/>
        <v>0.20873656448204339</v>
      </c>
      <c r="F174" s="8">
        <f t="shared" si="26"/>
        <v>0.75145163213535626</v>
      </c>
      <c r="G174" s="12">
        <f t="shared" si="25"/>
        <v>1.0436827636115992E-2</v>
      </c>
      <c r="H174" s="10">
        <f t="shared" si="35"/>
        <v>1666.6687540323439</v>
      </c>
      <c r="I174" s="7">
        <f t="shared" si="36"/>
        <v>1666668.7540323439</v>
      </c>
      <c r="J174" s="16">
        <f t="shared" si="27"/>
        <v>0.26179971568178328</v>
      </c>
      <c r="K174" s="24">
        <f t="shared" si="28"/>
        <v>2.0873656774256233E-3</v>
      </c>
      <c r="L174" s="8">
        <f t="shared" si="29"/>
        <v>2.0873656774256233</v>
      </c>
      <c r="M174" s="32">
        <f t="shared" si="30"/>
        <v>1.0638968028660542E-3</v>
      </c>
      <c r="N174" s="5">
        <f t="shared" si="31"/>
        <v>1.0638968028660542E-3</v>
      </c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</row>
    <row r="175" spans="2:37" ht="15.75" x14ac:dyDescent="0.25">
      <c r="B175" s="10">
        <f t="shared" si="32"/>
        <v>21</v>
      </c>
      <c r="C175" s="7">
        <f t="shared" ref="C175:D175" si="55">B175/60</f>
        <v>0.35</v>
      </c>
      <c r="D175" s="15">
        <f t="shared" si="55"/>
        <v>5.8333333333333327E-3</v>
      </c>
      <c r="E175" s="8">
        <f t="shared" si="34"/>
        <v>0.21917339202417324</v>
      </c>
      <c r="F175" s="8">
        <f t="shared" si="26"/>
        <v>0.78902421128702371</v>
      </c>
      <c r="G175" s="12">
        <f t="shared" si="25"/>
        <v>1.0436827542129849E-2</v>
      </c>
      <c r="H175" s="10">
        <f t="shared" si="35"/>
        <v>1666.6689679873223</v>
      </c>
      <c r="I175" s="7">
        <f t="shared" si="36"/>
        <v>1666668.9679873222</v>
      </c>
      <c r="J175" s="16">
        <f t="shared" si="27"/>
        <v>0.26179974928975269</v>
      </c>
      <c r="K175" s="24">
        <f t="shared" si="28"/>
        <v>2.3013206557607191E-3</v>
      </c>
      <c r="L175" s="8">
        <f t="shared" si="29"/>
        <v>2.3013206557607191</v>
      </c>
      <c r="M175" s="32">
        <f t="shared" si="30"/>
        <v>1.0638967932854076E-3</v>
      </c>
      <c r="N175" s="5">
        <f t="shared" si="31"/>
        <v>1.0638967932854076E-3</v>
      </c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</row>
    <row r="176" spans="2:37" ht="15.75" x14ac:dyDescent="0.25">
      <c r="B176" s="10">
        <f t="shared" si="32"/>
        <v>22</v>
      </c>
      <c r="C176" s="7">
        <f t="shared" ref="C176:D176" si="56">B176/60</f>
        <v>0.36666666666666664</v>
      </c>
      <c r="D176" s="15">
        <f t="shared" si="56"/>
        <v>6.1111111111111106E-3</v>
      </c>
      <c r="E176" s="8">
        <f t="shared" si="34"/>
        <v>0.22961021946773225</v>
      </c>
      <c r="F176" s="8">
        <f t="shared" si="26"/>
        <v>0.82659679008383613</v>
      </c>
      <c r="G176" s="12">
        <f t="shared" si="25"/>
        <v>1.0436827443559001E-2</v>
      </c>
      <c r="H176" s="10">
        <f t="shared" si="35"/>
        <v>1666.6691923791279</v>
      </c>
      <c r="I176" s="7">
        <f t="shared" si="36"/>
        <v>1666669.192379128</v>
      </c>
      <c r="J176" s="16">
        <f t="shared" si="27"/>
        <v>0.26179978453713509</v>
      </c>
      <c r="K176" s="24">
        <f t="shared" si="28"/>
        <v>2.5257124614199711E-3</v>
      </c>
      <c r="L176" s="8">
        <f t="shared" si="29"/>
        <v>2.5257124614199711</v>
      </c>
      <c r="M176" s="32">
        <f t="shared" si="30"/>
        <v>1.0638967832374108E-3</v>
      </c>
      <c r="N176" s="5">
        <f t="shared" si="31"/>
        <v>1.0638967832374108E-3</v>
      </c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</row>
    <row r="177" spans="2:37" ht="15.75" x14ac:dyDescent="0.25">
      <c r="B177" s="10">
        <f t="shared" si="32"/>
        <v>23</v>
      </c>
      <c r="C177" s="7">
        <f t="shared" ref="C177:D177" si="57">B177/60</f>
        <v>0.38333333333333336</v>
      </c>
      <c r="D177" s="15">
        <f t="shared" si="57"/>
        <v>6.3888888888888893E-3</v>
      </c>
      <c r="E177" s="8">
        <f t="shared" si="34"/>
        <v>0.24004704680813571</v>
      </c>
      <c r="F177" s="8">
        <f t="shared" si="26"/>
        <v>0.8641693685092886</v>
      </c>
      <c r="G177" s="12">
        <f t="shared" si="25"/>
        <v>1.0436827340403451E-2</v>
      </c>
      <c r="H177" s="10">
        <f t="shared" si="35"/>
        <v>1666.6694272077609</v>
      </c>
      <c r="I177" s="7">
        <f t="shared" si="36"/>
        <v>1666669.427207761</v>
      </c>
      <c r="J177" s="16">
        <f t="shared" si="27"/>
        <v>0.26179982142393049</v>
      </c>
      <c r="K177" s="24">
        <f t="shared" si="28"/>
        <v>2.7605410944033792E-3</v>
      </c>
      <c r="L177" s="8">
        <f t="shared" si="29"/>
        <v>2.7605410944033792</v>
      </c>
      <c r="M177" s="32">
        <f t="shared" si="30"/>
        <v>1.0638967727220642E-3</v>
      </c>
      <c r="N177" s="5">
        <f t="shared" si="31"/>
        <v>1.0638967727220642E-3</v>
      </c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</row>
    <row r="178" spans="2:37" ht="15.75" x14ac:dyDescent="0.25">
      <c r="B178" s="10">
        <f t="shared" si="32"/>
        <v>24</v>
      </c>
      <c r="C178" s="7">
        <f t="shared" ref="C178:D178" si="58">B178/60</f>
        <v>0.4</v>
      </c>
      <c r="D178" s="15">
        <f t="shared" si="58"/>
        <v>6.6666666666666671E-3</v>
      </c>
      <c r="E178" s="8">
        <f t="shared" si="34"/>
        <v>0.25048387404079892</v>
      </c>
      <c r="F178" s="8">
        <f t="shared" si="26"/>
        <v>0.90174194654687612</v>
      </c>
      <c r="G178" s="12">
        <f t="shared" si="25"/>
        <v>1.0436827232663195E-2</v>
      </c>
      <c r="H178" s="10">
        <f t="shared" si="35"/>
        <v>1666.6696724732215</v>
      </c>
      <c r="I178" s="7">
        <f t="shared" si="36"/>
        <v>1666669.6724732216</v>
      </c>
      <c r="J178" s="16">
        <f t="shared" si="27"/>
        <v>0.26179985995013899</v>
      </c>
      <c r="K178" s="24">
        <f t="shared" si="28"/>
        <v>3.0058065549383173E-3</v>
      </c>
      <c r="L178" s="8">
        <f t="shared" si="29"/>
        <v>3.0058065549383173</v>
      </c>
      <c r="M178" s="32">
        <f t="shared" si="30"/>
        <v>1.0638967617393675E-3</v>
      </c>
      <c r="N178" s="5">
        <f t="shared" si="31"/>
        <v>1.0638967617393675E-3</v>
      </c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</row>
    <row r="179" spans="2:37" ht="15.75" x14ac:dyDescent="0.25">
      <c r="B179" s="10">
        <f t="shared" si="32"/>
        <v>25</v>
      </c>
      <c r="C179" s="7">
        <f t="shared" ref="C179:D179" si="59">B179/60</f>
        <v>0.41666666666666669</v>
      </c>
      <c r="D179" s="15">
        <f t="shared" si="59"/>
        <v>6.9444444444444449E-3</v>
      </c>
      <c r="E179" s="8">
        <f t="shared" si="34"/>
        <v>0.26092070116113714</v>
      </c>
      <c r="F179" s="8">
        <f t="shared" si="26"/>
        <v>0.93931452418009376</v>
      </c>
      <c r="G179" s="12">
        <f t="shared" si="25"/>
        <v>1.043682712033823E-2</v>
      </c>
      <c r="H179" s="10">
        <f t="shared" si="35"/>
        <v>1666.6699281755093</v>
      </c>
      <c r="I179" s="7">
        <f t="shared" si="36"/>
        <v>1666669.9281755092</v>
      </c>
      <c r="J179" s="16">
        <f t="shared" si="27"/>
        <v>0.26179990011576043</v>
      </c>
      <c r="K179" s="24">
        <f t="shared" si="28"/>
        <v>3.2615088427974115E-3</v>
      </c>
      <c r="L179" s="8">
        <f t="shared" si="29"/>
        <v>3.2615088427974115</v>
      </c>
      <c r="M179" s="32">
        <f t="shared" si="30"/>
        <v>1.06389675028932E-3</v>
      </c>
      <c r="N179" s="5">
        <f t="shared" si="31"/>
        <v>1.06389675028932E-3</v>
      </c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</row>
    <row r="180" spans="2:37" ht="15.75" x14ac:dyDescent="0.25">
      <c r="B180" s="10">
        <f t="shared" si="32"/>
        <v>26</v>
      </c>
      <c r="C180" s="7">
        <f t="shared" ref="C180:D180" si="60">B180/60</f>
        <v>0.43333333333333335</v>
      </c>
      <c r="D180" s="15">
        <f t="shared" si="60"/>
        <v>7.2222222222222228E-3</v>
      </c>
      <c r="E180" s="8">
        <f t="shared" si="34"/>
        <v>0.27135752816456571</v>
      </c>
      <c r="F180" s="8">
        <f t="shared" si="26"/>
        <v>0.97688710139243662</v>
      </c>
      <c r="G180" s="12">
        <f t="shared" si="25"/>
        <v>1.0436827003428555E-2</v>
      </c>
      <c r="H180" s="10">
        <f t="shared" si="35"/>
        <v>1666.670194314624</v>
      </c>
      <c r="I180" s="7">
        <f t="shared" si="36"/>
        <v>1666670.194314624</v>
      </c>
      <c r="J180" s="16">
        <f t="shared" si="27"/>
        <v>0.26179994192079475</v>
      </c>
      <c r="K180" s="24">
        <f t="shared" si="28"/>
        <v>3.5276479575259145E-3</v>
      </c>
      <c r="L180" s="8">
        <f t="shared" si="29"/>
        <v>3.5276479575259145</v>
      </c>
      <c r="M180" s="32">
        <f t="shared" si="30"/>
        <v>1.0638967383719219E-3</v>
      </c>
      <c r="N180" s="5">
        <f t="shared" si="31"/>
        <v>1.0638967383719219E-3</v>
      </c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</row>
    <row r="181" spans="2:37" ht="15.75" x14ac:dyDescent="0.25">
      <c r="B181" s="10">
        <f t="shared" si="32"/>
        <v>27</v>
      </c>
      <c r="C181" s="7">
        <f t="shared" ref="C181:D181" si="61">B181/60</f>
        <v>0.45</v>
      </c>
      <c r="D181" s="15">
        <f t="shared" si="61"/>
        <v>7.5000000000000006E-3</v>
      </c>
      <c r="E181" s="8">
        <f t="shared" si="34"/>
        <v>0.28179435504649986</v>
      </c>
      <c r="F181" s="8">
        <f t="shared" si="26"/>
        <v>1.0144596781673996</v>
      </c>
      <c r="G181" s="12">
        <f t="shared" si="25"/>
        <v>1.043682688193417E-2</v>
      </c>
      <c r="H181" s="10">
        <f t="shared" si="35"/>
        <v>1666.6704708905656</v>
      </c>
      <c r="I181" s="7">
        <f t="shared" si="36"/>
        <v>1666670.4708905655</v>
      </c>
      <c r="J181" s="16">
        <f t="shared" si="27"/>
        <v>0.26179998536524207</v>
      </c>
      <c r="K181" s="24">
        <f t="shared" si="28"/>
        <v>3.8042238991238264E-3</v>
      </c>
      <c r="L181" s="8">
        <f t="shared" si="29"/>
        <v>3.8042238991238264</v>
      </c>
      <c r="M181" s="32">
        <f t="shared" si="30"/>
        <v>1.0638967259871731E-3</v>
      </c>
      <c r="N181" s="5">
        <f t="shared" si="31"/>
        <v>1.0638967259871731E-3</v>
      </c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</row>
    <row r="182" spans="2:37" ht="15.75" x14ac:dyDescent="0.25">
      <c r="B182" s="10">
        <f t="shared" si="32"/>
        <v>28</v>
      </c>
      <c r="C182" s="7">
        <f t="shared" ref="C182:D182" si="62">B182/60</f>
        <v>0.46666666666666667</v>
      </c>
      <c r="D182" s="15">
        <f t="shared" si="62"/>
        <v>7.7777777777777776E-3</v>
      </c>
      <c r="E182" s="8">
        <f t="shared" si="34"/>
        <v>0.29223118180235491</v>
      </c>
      <c r="F182" s="8">
        <f t="shared" si="26"/>
        <v>1.0520322544884777</v>
      </c>
      <c r="G182" s="12">
        <f t="shared" si="25"/>
        <v>1.0436826755855069E-2</v>
      </c>
      <c r="H182" s="10">
        <f t="shared" si="35"/>
        <v>1666.6707579033339</v>
      </c>
      <c r="I182" s="7">
        <f t="shared" si="36"/>
        <v>1666670.757903334</v>
      </c>
      <c r="J182" s="16">
        <f t="shared" si="27"/>
        <v>0.26180003044910233</v>
      </c>
      <c r="K182" s="24">
        <f t="shared" si="28"/>
        <v>4.0912366673637734E-3</v>
      </c>
      <c r="L182" s="8">
        <f t="shared" si="29"/>
        <v>4.0912366673637734</v>
      </c>
      <c r="M182" s="32">
        <f t="shared" si="30"/>
        <v>1.0638967131350733E-3</v>
      </c>
      <c r="N182" s="5">
        <f t="shared" si="31"/>
        <v>1.0638967131350733E-3</v>
      </c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</row>
    <row r="183" spans="2:37" ht="15.75" x14ac:dyDescent="0.25">
      <c r="B183" s="10">
        <f t="shared" si="32"/>
        <v>29</v>
      </c>
      <c r="C183" s="7">
        <f t="shared" ref="C183:D183" si="63">B183/60</f>
        <v>0.48333333333333334</v>
      </c>
      <c r="D183" s="15">
        <f t="shared" si="63"/>
        <v>8.0555555555555554E-3</v>
      </c>
      <c r="E183" s="8">
        <f t="shared" si="34"/>
        <v>0.30266800842754615</v>
      </c>
      <c r="F183" s="8">
        <f t="shared" si="26"/>
        <v>1.0896048303391661</v>
      </c>
      <c r="G183" s="12">
        <f t="shared" si="25"/>
        <v>1.0436826625191253E-2</v>
      </c>
      <c r="H183" s="10">
        <f t="shared" si="35"/>
        <v>1666.6710553529292</v>
      </c>
      <c r="I183" s="7">
        <f t="shared" si="36"/>
        <v>1666671.0553529293</v>
      </c>
      <c r="J183" s="16">
        <f t="shared" si="27"/>
        <v>0.26180007717237552</v>
      </c>
      <c r="K183" s="24">
        <f t="shared" si="28"/>
        <v>4.388686262700503E-3</v>
      </c>
      <c r="L183" s="8">
        <f t="shared" si="29"/>
        <v>4.388686262700503</v>
      </c>
      <c r="M183" s="32">
        <f t="shared" si="30"/>
        <v>1.0638966998156221E-3</v>
      </c>
      <c r="N183" s="5">
        <f t="shared" si="31"/>
        <v>1.0638966998156221E-3</v>
      </c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</row>
    <row r="184" spans="2:37" ht="15.75" x14ac:dyDescent="0.25">
      <c r="B184" s="10">
        <f t="shared" si="32"/>
        <v>30</v>
      </c>
      <c r="C184" s="7">
        <f t="shared" ref="C184:D186" si="64">B184/60</f>
        <v>0.5</v>
      </c>
      <c r="D184" s="15">
        <f t="shared" si="64"/>
        <v>8.3333333333333332E-3</v>
      </c>
      <c r="E184" s="8">
        <f t="shared" si="34"/>
        <v>0.31310483491748886</v>
      </c>
      <c r="F184" s="8">
        <f t="shared" si="26"/>
        <v>1.12717740570296</v>
      </c>
      <c r="G184" s="12">
        <f t="shared" si="25"/>
        <v>1.0436826489942716E-2</v>
      </c>
      <c r="H184" s="10">
        <f t="shared" si="35"/>
        <v>1666.6713632393512</v>
      </c>
      <c r="I184" s="7">
        <f t="shared" si="36"/>
        <v>1666671.3632393512</v>
      </c>
      <c r="J184" s="16">
        <f t="shared" si="27"/>
        <v>0.26180012553506155</v>
      </c>
      <c r="K184" s="24">
        <f t="shared" si="28"/>
        <v>4.6965726846792677E-3</v>
      </c>
      <c r="L184" s="8">
        <f t="shared" si="29"/>
        <v>4.6965726846792677</v>
      </c>
      <c r="M184" s="32">
        <f t="shared" si="30"/>
        <v>1.0638966860288192E-3</v>
      </c>
      <c r="N184" s="5">
        <f t="shared" si="31"/>
        <v>1.0638966860288192E-3</v>
      </c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</row>
    <row r="185" spans="2:37" ht="15.75" x14ac:dyDescent="0.25">
      <c r="B185" s="10">
        <f>C185*60</f>
        <v>60</v>
      </c>
      <c r="C185" s="7">
        <f>C184*2</f>
        <v>1</v>
      </c>
      <c r="D185" s="15">
        <f t="shared" si="64"/>
        <v>1.6666666666666666E-2</v>
      </c>
      <c r="E185" s="8">
        <f t="shared" si="34"/>
        <v>0.62620944393480216</v>
      </c>
      <c r="F185" s="8">
        <f t="shared" si="26"/>
        <v>2.2543539981652878</v>
      </c>
      <c r="G185" s="12">
        <f t="shared" si="25"/>
        <v>1.043682030057711E-2</v>
      </c>
      <c r="H185" s="10">
        <f t="shared" si="35"/>
        <v>1666.6854529563193</v>
      </c>
      <c r="I185" s="7">
        <f t="shared" si="36"/>
        <v>1666685.4529563193</v>
      </c>
      <c r="J185" s="16">
        <f t="shared" si="27"/>
        <v>0.26180233874262748</v>
      </c>
      <c r="K185" s="24">
        <f t="shared" si="28"/>
        <v>1.8786289652780397E-2</v>
      </c>
      <c r="L185" s="8">
        <f t="shared" si="29"/>
        <v>18.786289652780397</v>
      </c>
      <c r="M185" s="32">
        <f t="shared" si="30"/>
        <v>1.0638960551047003E-3</v>
      </c>
      <c r="N185" s="5">
        <f t="shared" si="31"/>
        <v>1.0638960551047003E-3</v>
      </c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</row>
    <row r="186" spans="2:37" ht="15.75" x14ac:dyDescent="0.25">
      <c r="B186" s="10">
        <f t="shared" ref="B186:C217" si="65">C186*60</f>
        <v>120</v>
      </c>
      <c r="C186" s="7">
        <f>C185+1</f>
        <v>2</v>
      </c>
      <c r="D186" s="15">
        <f t="shared" si="64"/>
        <v>3.3333333333333333E-2</v>
      </c>
      <c r="E186" s="8">
        <f t="shared" si="34"/>
        <v>1.2524171764916603</v>
      </c>
      <c r="F186" s="8">
        <f t="shared" si="26"/>
        <v>4.508701835369977</v>
      </c>
      <c r="G186" s="12">
        <f t="shared" ref="G186:G217" si="66">COS(J186)*$R$152</f>
        <v>1.0436795542614305E-2</v>
      </c>
      <c r="H186" s="10">
        <f t="shared" si="35"/>
        <v>1666.7418117994964</v>
      </c>
      <c r="I186" s="7">
        <f t="shared" si="36"/>
        <v>1666741.8117994964</v>
      </c>
      <c r="J186" s="16">
        <f t="shared" si="27"/>
        <v>0.261811191569012</v>
      </c>
      <c r="K186" s="24">
        <f t="shared" si="28"/>
        <v>7.514513282990265E-2</v>
      </c>
      <c r="L186" s="8">
        <f t="shared" si="29"/>
        <v>75.14513282990265</v>
      </c>
      <c r="M186" s="32">
        <f t="shared" si="30"/>
        <v>1.0638935313572176E-3</v>
      </c>
      <c r="N186" s="5">
        <f t="shared" si="31"/>
        <v>1.0638935313572176E-3</v>
      </c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</row>
    <row r="187" spans="2:37" ht="15.75" x14ac:dyDescent="0.25">
      <c r="B187" s="10">
        <f t="shared" si="65"/>
        <v>180</v>
      </c>
      <c r="C187" s="7">
        <f t="shared" ref="C187:C214" si="67">C186+1</f>
        <v>3</v>
      </c>
      <c r="D187" s="7">
        <f t="shared" ref="D187" si="68">C187/60</f>
        <v>0.05</v>
      </c>
      <c r="E187" s="8">
        <f t="shared" si="34"/>
        <v>1.8786224331469394</v>
      </c>
      <c r="F187" s="8">
        <f t="shared" si="26"/>
        <v>6.7630407593289821</v>
      </c>
      <c r="G187" s="12">
        <f t="shared" si="66"/>
        <v>1.0436754277587987E-2</v>
      </c>
      <c r="H187" s="10">
        <f t="shared" si="35"/>
        <v>1666.8357430620626</v>
      </c>
      <c r="I187" s="7">
        <f t="shared" si="36"/>
        <v>1666835.7430620627</v>
      </c>
      <c r="J187" s="16">
        <f t="shared" si="27"/>
        <v>0.26182594625723299</v>
      </c>
      <c r="K187" s="24">
        <f t="shared" si="28"/>
        <v>0.16907639539613228</v>
      </c>
      <c r="L187" s="8">
        <f t="shared" si="29"/>
        <v>169.07639539613228</v>
      </c>
      <c r="M187" s="32">
        <f t="shared" si="30"/>
        <v>1.0638893249325164E-3</v>
      </c>
      <c r="N187" s="5">
        <f t="shared" si="31"/>
        <v>1.0638893249325164E-3</v>
      </c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</row>
    <row r="188" spans="2:37" ht="15.75" x14ac:dyDescent="0.25">
      <c r="B188" s="10">
        <f t="shared" si="65"/>
        <v>240</v>
      </c>
      <c r="C188" s="7">
        <f t="shared" si="67"/>
        <v>4</v>
      </c>
      <c r="D188" s="7">
        <f t="shared" ref="D188" si="69">C188/60</f>
        <v>6.6666666666666666E-2</v>
      </c>
      <c r="E188" s="8">
        <f t="shared" si="34"/>
        <v>2.5048242233179381</v>
      </c>
      <c r="F188" s="8">
        <f t="shared" si="26"/>
        <v>9.0173672039445769</v>
      </c>
      <c r="G188" s="12">
        <f t="shared" si="66"/>
        <v>1.0436696502849977E-2</v>
      </c>
      <c r="H188" s="10">
        <f t="shared" si="35"/>
        <v>1666.9672465657513</v>
      </c>
      <c r="I188" s="7">
        <f t="shared" si="36"/>
        <v>1666967.2465657513</v>
      </c>
      <c r="J188" s="16">
        <f t="shared" si="27"/>
        <v>0.26184660277928845</v>
      </c>
      <c r="K188" s="24">
        <f t="shared" si="28"/>
        <v>0.30057989908482341</v>
      </c>
      <c r="L188" s="8">
        <f t="shared" si="29"/>
        <v>300.57989908482341</v>
      </c>
      <c r="M188" s="32">
        <f t="shared" si="30"/>
        <v>1.0638834355606501E-3</v>
      </c>
      <c r="N188" s="5">
        <f t="shared" si="31"/>
        <v>1.0638834355606501E-3</v>
      </c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</row>
    <row r="189" spans="2:37" ht="15.75" x14ac:dyDescent="0.25">
      <c r="B189" s="10">
        <f t="shared" si="65"/>
        <v>300</v>
      </c>
      <c r="C189" s="7">
        <f t="shared" si="67"/>
        <v>5</v>
      </c>
      <c r="D189" s="7">
        <f t="shared" ref="D189" si="70">C189/60</f>
        <v>8.3333333333333329E-2</v>
      </c>
      <c r="E189" s="8">
        <f t="shared" si="34"/>
        <v>3.1310215561991996</v>
      </c>
      <c r="F189" s="8">
        <f t="shared" si="26"/>
        <v>11.271677602317119</v>
      </c>
      <c r="G189" s="12">
        <f t="shared" si="66"/>
        <v>1.0436622214687693E-2</v>
      </c>
      <c r="H189" s="10">
        <f t="shared" si="35"/>
        <v>1667.1363220728554</v>
      </c>
      <c r="I189" s="7">
        <f t="shared" si="36"/>
        <v>1667136.3220728554</v>
      </c>
      <c r="J189" s="16">
        <f t="shared" si="27"/>
        <v>0.26187316109783948</v>
      </c>
      <c r="K189" s="24">
        <f t="shared" si="28"/>
        <v>0.46965540618884916</v>
      </c>
      <c r="L189" s="8">
        <f t="shared" si="29"/>
        <v>469.65540618884916</v>
      </c>
      <c r="M189" s="32">
        <f t="shared" si="30"/>
        <v>1.0638758628631695E-3</v>
      </c>
      <c r="N189" s="5">
        <f t="shared" si="31"/>
        <v>1.0638758628631695E-3</v>
      </c>
    </row>
    <row r="190" spans="2:37" ht="15.75" x14ac:dyDescent="0.25">
      <c r="B190" s="10">
        <f t="shared" si="65"/>
        <v>360</v>
      </c>
      <c r="C190" s="7">
        <f t="shared" si="67"/>
        <v>6</v>
      </c>
      <c r="D190" s="7">
        <f t="shared" ref="D190" si="71">C190/60</f>
        <v>0.1</v>
      </c>
      <c r="E190" s="8">
        <f t="shared" si="34"/>
        <v>3.757213440698651</v>
      </c>
      <c r="F190" s="8">
        <f t="shared" si="26"/>
        <v>13.525968386515144</v>
      </c>
      <c r="G190" s="12">
        <f t="shared" si="66"/>
        <v>1.0436531408324189E-2</v>
      </c>
      <c r="H190" s="10">
        <f t="shared" si="35"/>
        <v>1667.3429692862139</v>
      </c>
      <c r="I190" s="7">
        <f t="shared" si="36"/>
        <v>1667342.9692862139</v>
      </c>
      <c r="J190" s="16">
        <f t="shared" si="27"/>
        <v>0.26190562116620808</v>
      </c>
      <c r="K190" s="24">
        <f t="shared" si="28"/>
        <v>0.676302619547414</v>
      </c>
      <c r="L190" s="8">
        <f t="shared" si="29"/>
        <v>676.302619547414</v>
      </c>
      <c r="M190" s="32">
        <f t="shared" si="30"/>
        <v>1.0638666063531284E-3</v>
      </c>
      <c r="N190" s="5">
        <f t="shared" si="31"/>
        <v>1.0638666063531284E-3</v>
      </c>
    </row>
    <row r="191" spans="2:37" ht="15.75" x14ac:dyDescent="0.25">
      <c r="B191" s="10">
        <f t="shared" si="65"/>
        <v>420</v>
      </c>
      <c r="C191" s="7">
        <f t="shared" si="67"/>
        <v>7</v>
      </c>
      <c r="D191" s="7">
        <f t="shared" ref="D191" si="72">C191/60</f>
        <v>0.11666666666666667</v>
      </c>
      <c r="E191" s="8">
        <f t="shared" si="34"/>
        <v>4.3833988853737473</v>
      </c>
      <c r="F191" s="8">
        <f t="shared" si="26"/>
        <v>15.78023598734549</v>
      </c>
      <c r="G191" s="12">
        <f t="shared" si="66"/>
        <v>1.0436424077918276E-2</v>
      </c>
      <c r="H191" s="10">
        <f t="shared" si="35"/>
        <v>1667.5871878491907</v>
      </c>
      <c r="I191" s="7">
        <f t="shared" si="36"/>
        <v>1667587.1878491908</v>
      </c>
      <c r="J191" s="16">
        <f t="shared" si="27"/>
        <v>0.26194398292837401</v>
      </c>
      <c r="K191" s="24">
        <f t="shared" si="28"/>
        <v>0.92052118252422588</v>
      </c>
      <c r="N191" s="5">
        <f t="shared" si="31"/>
        <v>1.0638556654350942E-3</v>
      </c>
    </row>
    <row r="192" spans="2:37" ht="15.75" x14ac:dyDescent="0.25">
      <c r="B192" s="10">
        <f t="shared" si="65"/>
        <v>480</v>
      </c>
      <c r="C192" s="7">
        <f t="shared" si="67"/>
        <v>8</v>
      </c>
      <c r="D192" s="7">
        <f t="shared" ref="D192" si="73">C192/60</f>
        <v>0.13333333333333333</v>
      </c>
      <c r="E192" s="8">
        <f t="shared" si="34"/>
        <v>5.0095768983676239</v>
      </c>
      <c r="F192" s="8">
        <f t="shared" si="26"/>
        <v>18.034476834123446</v>
      </c>
      <c r="G192" s="12">
        <f t="shared" si="66"/>
        <v>1.0436300216564607E-2</v>
      </c>
      <c r="H192" s="10">
        <f t="shared" si="35"/>
        <v>1667.8689773456533</v>
      </c>
      <c r="I192" s="7">
        <f t="shared" si="36"/>
        <v>1667868.9773456533</v>
      </c>
      <c r="J192" s="16">
        <f t="shared" si="27"/>
        <v>0.26198824631897127</v>
      </c>
      <c r="K192" s="24">
        <f t="shared" si="28"/>
        <v>1.2023106789868052</v>
      </c>
      <c r="N192" s="5">
        <f t="shared" si="31"/>
        <v>1.0638430394051587E-3</v>
      </c>
    </row>
    <row r="193" spans="2:14" ht="15.75" x14ac:dyDescent="0.25">
      <c r="B193" s="10">
        <f t="shared" si="65"/>
        <v>540</v>
      </c>
      <c r="C193" s="7">
        <f t="shared" si="67"/>
        <v>9</v>
      </c>
      <c r="D193" s="7">
        <f t="shared" ref="D193" si="74">C193/60</f>
        <v>0.15</v>
      </c>
      <c r="E193" s="8">
        <f t="shared" si="34"/>
        <v>5.6357464873452523</v>
      </c>
      <c r="F193" s="8">
        <f t="shared" si="26"/>
        <v>20.28868735444291</v>
      </c>
      <c r="G193" s="12">
        <f t="shared" si="66"/>
        <v>1.0436159816293812E-2</v>
      </c>
      <c r="H193" s="10">
        <f t="shared" si="35"/>
        <v>1668.188337299945</v>
      </c>
      <c r="I193" s="7">
        <f t="shared" si="36"/>
        <v>1668188.3372999451</v>
      </c>
      <c r="J193" s="16">
        <f t="shared" si="27"/>
        <v>0.26203841126328398</v>
      </c>
      <c r="K193" s="24">
        <f t="shared" si="28"/>
        <v>1.5216706332785179</v>
      </c>
      <c r="N193" s="5">
        <f t="shared" si="31"/>
        <v>1.0638287274509493E-3</v>
      </c>
    </row>
    <row r="194" spans="2:14" ht="15.75" x14ac:dyDescent="0.25">
      <c r="B194" s="10">
        <f t="shared" si="65"/>
        <v>600</v>
      </c>
      <c r="C194" s="7">
        <f t="shared" si="67"/>
        <v>10</v>
      </c>
      <c r="D194" s="7">
        <f t="shared" ref="D194" si="75">C194/60</f>
        <v>0.16666666666666666</v>
      </c>
      <c r="E194" s="8">
        <f t="shared" si="34"/>
        <v>6.2619066594296111</v>
      </c>
      <c r="F194" s="8">
        <f t="shared" si="26"/>
        <v>22.542863973946602</v>
      </c>
      <c r="G194" s="12">
        <f t="shared" si="66"/>
        <v>1.0436002868072648E-2</v>
      </c>
      <c r="H194" s="10">
        <f t="shared" si="35"/>
        <v>1668.5452671768551</v>
      </c>
      <c r="I194" s="7">
        <f t="shared" si="36"/>
        <v>1668545.2671768551</v>
      </c>
      <c r="J194" s="16">
        <f t="shared" si="27"/>
        <v>0.26209447767724137</v>
      </c>
      <c r="K194" s="24">
        <f t="shared" si="28"/>
        <v>1.8786005101885621</v>
      </c>
      <c r="N194" s="5">
        <f t="shared" si="31"/>
        <v>1.0638127286516461E-3</v>
      </c>
    </row>
    <row r="195" spans="2:14" ht="15.75" x14ac:dyDescent="0.25">
      <c r="B195" s="10">
        <f t="shared" si="65"/>
        <v>660</v>
      </c>
      <c r="C195" s="7">
        <f t="shared" si="67"/>
        <v>11</v>
      </c>
      <c r="D195" s="7">
        <f t="shared" ref="D195" si="76">C195/60</f>
        <v>0.18333333333333332</v>
      </c>
      <c r="E195" s="8">
        <f t="shared" si="34"/>
        <v>6.8880564211378603</v>
      </c>
      <c r="F195" s="8">
        <f t="shared" si="26"/>
        <v>24.797003116096299</v>
      </c>
      <c r="G195" s="12">
        <f t="shared" si="66"/>
        <v>1.0435829361804155E-2</v>
      </c>
      <c r="H195" s="10">
        <f t="shared" si="35"/>
        <v>1668.9397663815835</v>
      </c>
      <c r="I195" s="7">
        <f t="shared" si="36"/>
        <v>1668939.7663815834</v>
      </c>
      <c r="J195" s="16">
        <f t="shared" si="27"/>
        <v>0.2621564454674124</v>
      </c>
      <c r="K195" s="24">
        <f t="shared" si="28"/>
        <v>2.2730997149169525</v>
      </c>
      <c r="N195" s="5">
        <f t="shared" si="31"/>
        <v>1.0637950419779974E-3</v>
      </c>
    </row>
    <row r="196" spans="2:14" ht="15.75" x14ac:dyDescent="0.25">
      <c r="B196" s="10">
        <f t="shared" si="65"/>
        <v>720</v>
      </c>
      <c r="C196" s="7">
        <f t="shared" si="67"/>
        <v>12</v>
      </c>
      <c r="D196" s="7">
        <f t="shared" ref="D196" si="77">C196/60</f>
        <v>0.2</v>
      </c>
      <c r="E196" s="8">
        <f t="shared" si="34"/>
        <v>7.5141947783175311</v>
      </c>
      <c r="F196" s="8">
        <f t="shared" si="26"/>
        <v>27.051101201943112</v>
      </c>
      <c r="G196" s="12">
        <f t="shared" si="66"/>
        <v>1.0435639286327847E-2</v>
      </c>
      <c r="H196" s="10">
        <f t="shared" si="35"/>
        <v>1669.3718342597028</v>
      </c>
      <c r="I196" s="7">
        <f t="shared" si="36"/>
        <v>1669371.8342597028</v>
      </c>
      <c r="J196" s="16">
        <f t="shared" si="27"/>
        <v>0.26222431453099998</v>
      </c>
      <c r="K196" s="24">
        <f t="shared" si="28"/>
        <v>2.7051675930363217</v>
      </c>
      <c r="N196" s="5">
        <f t="shared" si="31"/>
        <v>1.0637756662923391E-3</v>
      </c>
    </row>
    <row r="197" spans="2:14" ht="15.75" x14ac:dyDescent="0.25">
      <c r="B197" s="10">
        <f t="shared" si="65"/>
        <v>780</v>
      </c>
      <c r="C197" s="7">
        <f t="shared" si="67"/>
        <v>13</v>
      </c>
      <c r="D197" s="7">
        <f t="shared" ref="D197" si="78">C197/60</f>
        <v>0.21666666666666667</v>
      </c>
      <c r="E197" s="8">
        <f t="shared" si="34"/>
        <v>8.1403207360827263</v>
      </c>
      <c r="F197" s="8">
        <f t="shared" si="26"/>
        <v>29.305154649897815</v>
      </c>
      <c r="G197" s="12">
        <f t="shared" si="66"/>
        <v>1.043543262941991E-2</v>
      </c>
      <c r="H197" s="10">
        <f t="shared" si="35"/>
        <v>1669.8414700971173</v>
      </c>
      <c r="I197" s="7">
        <f t="shared" si="36"/>
        <v>1669841.4700971174</v>
      </c>
      <c r="J197" s="16">
        <f t="shared" si="27"/>
        <v>0.26229808475583422</v>
      </c>
      <c r="K197" s="24">
        <f t="shared" si="28"/>
        <v>3.1748034304507655</v>
      </c>
      <c r="N197" s="5">
        <f t="shared" si="31"/>
        <v>1.0637546003486147E-3</v>
      </c>
    </row>
    <row r="198" spans="2:14" ht="15.75" x14ac:dyDescent="0.25">
      <c r="B198" s="10">
        <f t="shared" si="65"/>
        <v>840</v>
      </c>
      <c r="C198" s="7">
        <f t="shared" si="67"/>
        <v>14</v>
      </c>
      <c r="D198" s="7">
        <f t="shared" ref="D198" si="79">C198/60</f>
        <v>0.23333333333333334</v>
      </c>
      <c r="E198" s="8">
        <f t="shared" si="34"/>
        <v>8.7664332987503322</v>
      </c>
      <c r="F198" s="8">
        <f t="shared" si="26"/>
        <v>31.559159875501198</v>
      </c>
      <c r="G198" s="12">
        <f t="shared" si="66"/>
        <v>1.0435209377793428E-2</v>
      </c>
      <c r="H198" s="10">
        <f t="shared" si="35"/>
        <v>1670.3486731200153</v>
      </c>
      <c r="I198" s="7">
        <f t="shared" si="36"/>
        <v>1670348.6731200153</v>
      </c>
      <c r="J198" s="16">
        <f t="shared" si="27"/>
        <v>0.26237775602036495</v>
      </c>
      <c r="K198" s="24">
        <f t="shared" si="28"/>
        <v>3.6820064533487766</v>
      </c>
      <c r="N198" s="5">
        <f t="shared" si="31"/>
        <v>1.0637318427923982E-3</v>
      </c>
    </row>
    <row r="199" spans="2:14" ht="15.75" x14ac:dyDescent="0.25">
      <c r="B199" s="10">
        <f t="shared" si="65"/>
        <v>900</v>
      </c>
      <c r="C199" s="7">
        <f t="shared" si="67"/>
        <v>15</v>
      </c>
      <c r="D199" s="7">
        <f t="shared" ref="D199" si="80">C199/60</f>
        <v>0.25</v>
      </c>
      <c r="E199" s="8">
        <f t="shared" si="34"/>
        <v>9.3925314697762499</v>
      </c>
      <c r="F199" s="8">
        <f t="shared" si="26"/>
        <v>33.813113291194497</v>
      </c>
      <c r="G199" s="12">
        <f t="shared" si="66"/>
        <v>1.043496951709862E-2</v>
      </c>
      <c r="H199" s="10">
        <f t="shared" si="35"/>
        <v>1670.8934424948204</v>
      </c>
      <c r="I199" s="7">
        <f t="shared" si="36"/>
        <v>1670893.4424948203</v>
      </c>
      <c r="J199" s="16">
        <f t="shared" si="27"/>
        <v>0.26246332819365437</v>
      </c>
      <c r="K199" s="24">
        <f t="shared" si="28"/>
        <v>4.2267758281539045</v>
      </c>
      <c r="N199" s="5">
        <f t="shared" si="31"/>
        <v>1.0637073921609193E-3</v>
      </c>
    </row>
    <row r="200" spans="2:14" ht="15.75" x14ac:dyDescent="0.25">
      <c r="B200" s="10">
        <f t="shared" si="65"/>
        <v>960</v>
      </c>
      <c r="C200" s="7">
        <f t="shared" si="67"/>
        <v>16</v>
      </c>
      <c r="D200" s="7">
        <f t="shared" ref="D200" si="81">C200/60</f>
        <v>0.26666666666666666</v>
      </c>
      <c r="E200" s="8">
        <f t="shared" si="34"/>
        <v>10.018614251691636</v>
      </c>
      <c r="F200" s="8">
        <f t="shared" si="26"/>
        <v>36.067011306089888</v>
      </c>
      <c r="G200" s="12">
        <f t="shared" si="66"/>
        <v>1.0434713031923105E-2</v>
      </c>
      <c r="H200" s="10">
        <f t="shared" si="35"/>
        <v>1671.4757773281376</v>
      </c>
      <c r="I200" s="7">
        <f t="shared" si="36"/>
        <v>1671475.7773281375</v>
      </c>
      <c r="J200" s="16">
        <f t="shared" si="27"/>
        <v>0.26255480113536828</v>
      </c>
      <c r="K200" s="24">
        <f t="shared" si="28"/>
        <v>4.8091106614710952</v>
      </c>
      <c r="N200" s="5">
        <f t="shared" si="31"/>
        <v>1.0636812468830892E-3</v>
      </c>
    </row>
    <row r="201" spans="2:14" ht="15.75" x14ac:dyDescent="0.25">
      <c r="B201" s="10">
        <f t="shared" si="65"/>
        <v>1020</v>
      </c>
      <c r="C201" s="7">
        <f t="shared" si="67"/>
        <v>17</v>
      </c>
      <c r="D201" s="7">
        <f t="shared" ref="D201" si="82">C201/60</f>
        <v>0.28333333333333333</v>
      </c>
      <c r="E201" s="8">
        <f t="shared" si="34"/>
        <v>10.644680646039166</v>
      </c>
      <c r="F201" s="8">
        <f t="shared" si="26"/>
        <v>38.320850325740999</v>
      </c>
      <c r="G201" s="12">
        <f t="shared" si="66"/>
        <v>1.0434439905792178E-2</v>
      </c>
      <c r="H201" s="10">
        <f t="shared" si="35"/>
        <v>1672.0956766666964</v>
      </c>
      <c r="I201" s="7">
        <f t="shared" si="36"/>
        <v>1672095.6766666963</v>
      </c>
      <c r="J201" s="16">
        <f t="shared" si="27"/>
        <v>0.26265217469576735</v>
      </c>
      <c r="K201" s="24">
        <f t="shared" si="28"/>
        <v>5.429010000029848</v>
      </c>
      <c r="N201" s="5">
        <f t="shared" si="31"/>
        <v>1.0636534052795288E-3</v>
      </c>
    </row>
    <row r="202" spans="2:14" ht="15.75" x14ac:dyDescent="0.25">
      <c r="B202" s="10">
        <f t="shared" si="65"/>
        <v>1080</v>
      </c>
      <c r="C202" s="7">
        <f t="shared" si="67"/>
        <v>18</v>
      </c>
      <c r="D202" s="7">
        <f t="shared" ref="D202" si="83">C202/60</f>
        <v>0.3</v>
      </c>
      <c r="E202" s="8">
        <f t="shared" si="34"/>
        <v>11.270729653309314</v>
      </c>
      <c r="F202" s="8">
        <f t="shared" si="26"/>
        <v>40.574626751913527</v>
      </c>
      <c r="G202" s="12">
        <f t="shared" si="66"/>
        <v>1.0434150121169107E-2</v>
      </c>
      <c r="H202" s="10">
        <f t="shared" si="35"/>
        <v>1672.7531394972889</v>
      </c>
      <c r="I202" s="7">
        <f t="shared" si="36"/>
        <v>1672753.139497289</v>
      </c>
      <c r="J202" s="16">
        <f t="shared" si="27"/>
        <v>0.26275544871569728</v>
      </c>
      <c r="K202" s="24">
        <f t="shared" si="28"/>
        <v>6.0864728306223697</v>
      </c>
      <c r="N202" s="5">
        <f t="shared" si="31"/>
        <v>1.0636238655626002E-3</v>
      </c>
    </row>
    <row r="203" spans="2:14" ht="15.75" x14ac:dyDescent="0.25">
      <c r="B203" s="10">
        <f t="shared" si="65"/>
        <v>1140</v>
      </c>
      <c r="C203" s="7">
        <f t="shared" si="67"/>
        <v>19</v>
      </c>
      <c r="D203" s="7">
        <f t="shared" ref="D203" si="84">C203/60</f>
        <v>0.31666666666666665</v>
      </c>
      <c r="E203" s="8">
        <f t="shared" si="34"/>
        <v>11.896760272876641</v>
      </c>
      <c r="F203" s="8">
        <f t="shared" si="26"/>
        <v>42.828336982355907</v>
      </c>
      <c r="G203" s="12">
        <f t="shared" si="66"/>
        <v>1.0433843659455455E-2</v>
      </c>
      <c r="H203" s="10">
        <f t="shared" si="35"/>
        <v>1673.4481647467057</v>
      </c>
      <c r="I203" s="7">
        <f t="shared" si="36"/>
        <v>1673448.1647467057</v>
      </c>
      <c r="J203" s="16">
        <f t="shared" si="27"/>
        <v>0.26286462302657859</v>
      </c>
      <c r="K203" s="24">
        <f t="shared" si="28"/>
        <v>6.7814980800392277</v>
      </c>
      <c r="N203" s="5">
        <f t="shared" si="31"/>
        <v>1.0635926258364377E-3</v>
      </c>
    </row>
    <row r="204" spans="2:14" ht="15.75" x14ac:dyDescent="0.25">
      <c r="B204" s="10">
        <f t="shared" si="65"/>
        <v>1200</v>
      </c>
      <c r="C204" s="7">
        <f t="shared" si="67"/>
        <v>20</v>
      </c>
      <c r="D204" s="7">
        <f t="shared" ref="D204" si="85">C204/60</f>
        <v>0.33333333333333331</v>
      </c>
      <c r="E204" s="8">
        <f t="shared" si="34"/>
        <v>12.522771502936125</v>
      </c>
      <c r="F204" s="8">
        <f t="shared" si="26"/>
        <v>45.081977410570055</v>
      </c>
      <c r="G204" s="12">
        <f t="shared" si="66"/>
        <v>1.0433520500991413E-2</v>
      </c>
      <c r="H204" s="10">
        <f t="shared" si="35"/>
        <v>1674.1807512816652</v>
      </c>
      <c r="I204" s="7">
        <f t="shared" si="36"/>
        <v>1674180.7512816652</v>
      </c>
      <c r="J204" s="16">
        <f t="shared" si="27"/>
        <v>0.26297969745039596</v>
      </c>
      <c r="K204" s="24">
        <f t="shared" si="28"/>
        <v>7.5140846149986373</v>
      </c>
      <c r="N204" s="5">
        <f t="shared" si="31"/>
        <v>1.0635596840969839E-3</v>
      </c>
    </row>
    <row r="205" spans="2:14" ht="15.75" x14ac:dyDescent="0.25">
      <c r="B205" s="10">
        <f t="shared" si="65"/>
        <v>1260</v>
      </c>
      <c r="C205" s="7">
        <f t="shared" si="67"/>
        <v>21</v>
      </c>
      <c r="D205" s="7">
        <f t="shared" ref="D205" si="86">C205/60</f>
        <v>0.35</v>
      </c>
      <c r="E205" s="8">
        <f t="shared" si="34"/>
        <v>13.148762340439495</v>
      </c>
      <c r="F205" s="8">
        <f t="shared" si="26"/>
        <v>47.335544425582185</v>
      </c>
      <c r="G205" s="12">
        <f t="shared" si="66"/>
        <v>1.0433180625056158E-2</v>
      </c>
      <c r="H205" s="10">
        <f t="shared" si="35"/>
        <v>1674.9508979087429</v>
      </c>
      <c r="I205" s="7">
        <f t="shared" si="36"/>
        <v>1674950.897908743</v>
      </c>
      <c r="J205" s="16">
        <f t="shared" si="27"/>
        <v>0.26310067179968671</v>
      </c>
      <c r="K205" s="24">
        <f t="shared" si="28"/>
        <v>8.2842312420764301</v>
      </c>
      <c r="N205" s="5">
        <f t="shared" si="31"/>
        <v>1.0635250382320242E-3</v>
      </c>
    </row>
    <row r="206" spans="2:14" ht="15.75" x14ac:dyDescent="0.25">
      <c r="B206" s="10">
        <f t="shared" si="65"/>
        <v>1320</v>
      </c>
      <c r="C206" s="7">
        <f t="shared" si="67"/>
        <v>22</v>
      </c>
      <c r="D206" s="7">
        <f t="shared" ref="D206" si="87">C206/60</f>
        <v>0.36666666666666664</v>
      </c>
      <c r="E206" s="8">
        <f t="shared" si="34"/>
        <v>13.774731781031589</v>
      </c>
      <c r="F206" s="8">
        <f t="shared" si="26"/>
        <v>49.589034411713719</v>
      </c>
      <c r="G206" s="12">
        <f t="shared" si="66"/>
        <v>1.0432824009868233E-2</v>
      </c>
      <c r="H206" s="10">
        <f t="shared" si="35"/>
        <v>1675.7586033742946</v>
      </c>
      <c r="I206" s="7">
        <f t="shared" si="36"/>
        <v>1675758.6033742945</v>
      </c>
      <c r="J206" s="16">
        <f t="shared" si="27"/>
        <v>0.26322754587752878</v>
      </c>
      <c r="K206" s="24">
        <f t="shared" si="28"/>
        <v>9.0919367076280651</v>
      </c>
      <c r="N206" s="5">
        <f t="shared" si="31"/>
        <v>1.0634886860212266E-3</v>
      </c>
    </row>
    <row r="207" spans="2:14" ht="15.75" x14ac:dyDescent="0.25">
      <c r="B207" s="10">
        <f t="shared" si="65"/>
        <v>1380</v>
      </c>
      <c r="C207" s="7">
        <f t="shared" si="67"/>
        <v>23</v>
      </c>
      <c r="D207" s="7">
        <f t="shared" ref="D207" si="88">C207/60</f>
        <v>0.38333333333333336</v>
      </c>
      <c r="E207" s="8">
        <f t="shared" si="34"/>
        <v>14.400678818986744</v>
      </c>
      <c r="F207" s="8">
        <f t="shared" si="26"/>
        <v>51.842443748352281</v>
      </c>
      <c r="G207" s="12">
        <f t="shared" si="66"/>
        <v>1.0432450632585929E-2</v>
      </c>
      <c r="H207" s="10">
        <f t="shared" si="35"/>
        <v>1676.603866364374</v>
      </c>
      <c r="I207" s="7">
        <f t="shared" si="36"/>
        <v>1676603.8663643741</v>
      </c>
      <c r="J207" s="16">
        <f t="shared" si="27"/>
        <v>0.26336031947752803</v>
      </c>
      <c r="K207" s="24">
        <f t="shared" si="28"/>
        <v>9.9371996977074559</v>
      </c>
      <c r="N207" s="5">
        <f t="shared" si="31"/>
        <v>1.0634506251361803E-3</v>
      </c>
    </row>
    <row r="208" spans="2:14" ht="15.75" x14ac:dyDescent="0.25">
      <c r="B208" s="10">
        <f t="shared" si="65"/>
        <v>1440</v>
      </c>
      <c r="C208" s="7">
        <f t="shared" si="67"/>
        <v>24</v>
      </c>
      <c r="D208" s="7">
        <f t="shared" ref="D208" si="89">C208/60</f>
        <v>0.4</v>
      </c>
      <c r="E208" s="8">
        <f t="shared" si="34"/>
        <v>15.026602447145207</v>
      </c>
      <c r="F208" s="8">
        <f t="shared" si="26"/>
        <v>54.095768809722742</v>
      </c>
      <c r="G208" s="12">
        <f t="shared" si="66"/>
        <v>1.0432060469307714E-2</v>
      </c>
      <c r="H208" s="10">
        <f t="shared" si="35"/>
        <v>1677.4866855046519</v>
      </c>
      <c r="I208" s="7">
        <f t="shared" si="36"/>
        <v>1677486.6855046519</v>
      </c>
      <c r="J208" s="16">
        <f t="shared" si="27"/>
        <v>0.26349899238380531</v>
      </c>
      <c r="K208" s="24">
        <f t="shared" si="28"/>
        <v>10.820018837985344</v>
      </c>
      <c r="N208" s="5">
        <f t="shared" si="31"/>
        <v>1.0634108531404397E-3</v>
      </c>
    </row>
    <row r="209" spans="2:14" ht="15.75" x14ac:dyDescent="0.25">
      <c r="B209" s="10">
        <f t="shared" si="65"/>
        <v>1500</v>
      </c>
      <c r="C209" s="7">
        <f t="shared" si="67"/>
        <v>25</v>
      </c>
      <c r="D209" s="7">
        <f t="shared" ref="D209" si="90">C209/60</f>
        <v>0.41666666666666669</v>
      </c>
      <c r="E209" s="8">
        <f t="shared" si="34"/>
        <v>15.652501656849566</v>
      </c>
      <c r="F209" s="8">
        <f t="shared" si="26"/>
        <v>56.349005964658438</v>
      </c>
      <c r="G209" s="12">
        <f t="shared" si="66"/>
        <v>1.0431653495072657E-2</v>
      </c>
      <c r="H209" s="10">
        <f t="shared" si="35"/>
        <v>1678.4070593603253</v>
      </c>
      <c r="I209" s="7">
        <f t="shared" si="36"/>
        <v>1678407.0593603253</v>
      </c>
      <c r="J209" s="16">
        <f t="shared" si="27"/>
        <v>0.2636435643709823</v>
      </c>
      <c r="K209" s="24">
        <f t="shared" si="28"/>
        <v>11.740392693658805</v>
      </c>
      <c r="N209" s="5">
        <f t="shared" si="31"/>
        <v>1.0633693674895674E-3</v>
      </c>
    </row>
    <row r="210" spans="2:14" ht="15.75" x14ac:dyDescent="0.25">
      <c r="B210" s="10">
        <f t="shared" si="65"/>
        <v>1560</v>
      </c>
      <c r="C210" s="7">
        <f t="shared" si="67"/>
        <v>26</v>
      </c>
      <c r="D210" s="7">
        <f t="shared" ref="D210" si="91">C210/60</f>
        <v>0.43333333333333335</v>
      </c>
      <c r="E210" s="8">
        <f t="shared" si="34"/>
        <v>16.27837543788122</v>
      </c>
      <c r="F210" s="8">
        <f t="shared" si="26"/>
        <v>58.602151576372393</v>
      </c>
      <c r="G210" s="12">
        <f t="shared" si="66"/>
        <v>1.0431229683860887E-2</v>
      </c>
      <c r="H210" s="10">
        <f t="shared" si="35"/>
        <v>1679.3649864360273</v>
      </c>
      <c r="I210" s="7">
        <f t="shared" si="36"/>
        <v>1679364.9864360273</v>
      </c>
      <c r="J210" s="16">
        <f t="shared" si="27"/>
        <v>0.26379403520416733</v>
      </c>
      <c r="K210" s="24">
        <f t="shared" si="28"/>
        <v>12.698319769360751</v>
      </c>
      <c r="N210" s="5">
        <f t="shared" si="31"/>
        <v>1.0633261655311811E-3</v>
      </c>
    </row>
    <row r="211" spans="2:14" ht="15.75" x14ac:dyDescent="0.25">
      <c r="B211" s="10">
        <f t="shared" si="65"/>
        <v>1620</v>
      </c>
      <c r="C211" s="7">
        <f t="shared" si="67"/>
        <v>27</v>
      </c>
      <c r="D211" s="7">
        <f t="shared" ref="D211" si="92">C211/60</f>
        <v>0.45</v>
      </c>
      <c r="E211" s="8">
        <f t="shared" si="34"/>
        <v>16.904222778396864</v>
      </c>
      <c r="F211" s="8">
        <f t="shared" si="26"/>
        <v>60.855202002228715</v>
      </c>
      <c r="G211" s="12">
        <f t="shared" si="66"/>
        <v>1.0430789008594061E-2</v>
      </c>
      <c r="H211" s="10">
        <f t="shared" si="35"/>
        <v>1680.3604651757314</v>
      </c>
      <c r="I211" s="7">
        <f t="shared" si="36"/>
        <v>1680360.4651757313</v>
      </c>
      <c r="J211" s="16">
        <f t="shared" si="27"/>
        <v>0.26395040463894026</v>
      </c>
      <c r="K211" s="24">
        <f t="shared" si="28"/>
        <v>13.693798509064891</v>
      </c>
      <c r="N211" s="5">
        <f t="shared" si="31"/>
        <v>1.063281244505001E-3</v>
      </c>
    </row>
    <row r="212" spans="2:14" ht="15.75" x14ac:dyDescent="0.25">
      <c r="B212" s="10">
        <f t="shared" si="65"/>
        <v>1680</v>
      </c>
      <c r="C212" s="7">
        <f t="shared" si="67"/>
        <v>28</v>
      </c>
      <c r="D212" s="7">
        <f t="shared" ref="D212" si="93">C212/60</f>
        <v>0.46666666666666667</v>
      </c>
      <c r="E212" s="8">
        <f t="shared" si="34"/>
        <v>17.530042664865015</v>
      </c>
      <c r="F212" s="8">
        <f t="shared" si="26"/>
        <v>63.108153593514054</v>
      </c>
      <c r="G212" s="12">
        <f t="shared" si="66"/>
        <v>1.0430331441135858E-2</v>
      </c>
      <c r="H212" s="10">
        <f t="shared" si="35"/>
        <v>1681.3934939626506</v>
      </c>
      <c r="I212" s="7">
        <f t="shared" si="36"/>
        <v>1681393.4939626507</v>
      </c>
      <c r="J212" s="16">
        <f t="shared" si="27"/>
        <v>0.2641126724213369</v>
      </c>
      <c r="K212" s="24">
        <f t="shared" si="28"/>
        <v>14.726827295984094</v>
      </c>
      <c r="N212" s="5">
        <f t="shared" si="31"/>
        <v>1.0632346015429009E-3</v>
      </c>
    </row>
    <row r="213" spans="2:14" ht="15.75" x14ac:dyDescent="0.25">
      <c r="B213" s="10">
        <f t="shared" si="65"/>
        <v>1740</v>
      </c>
      <c r="C213" s="7">
        <f t="shared" si="67"/>
        <v>29</v>
      </c>
      <c r="D213" s="7">
        <f t="shared" ref="D213" si="94">C213/60</f>
        <v>0.48333333333333334</v>
      </c>
      <c r="E213" s="8">
        <f t="shared" si="34"/>
        <v>18.155834082002563</v>
      </c>
      <c r="F213" s="8">
        <f t="shared" si="26"/>
        <v>65.361002695209237</v>
      </c>
      <c r="G213" s="12">
        <f t="shared" si="66"/>
        <v>1.0429856952292496E-2</v>
      </c>
      <c r="H213" s="10">
        <f t="shared" si="35"/>
        <v>1682.4640711191366</v>
      </c>
      <c r="I213" s="7">
        <f t="shared" si="36"/>
        <v>1682464.0711191366</v>
      </c>
      <c r="J213" s="16">
        <f t="shared" si="27"/>
        <v>0.26428083828783272</v>
      </c>
      <c r="K213" s="24">
        <f t="shared" si="28"/>
        <v>15.797404452470118</v>
      </c>
      <c r="N213" s="5">
        <f t="shared" si="31"/>
        <v>1.0631862336689599E-3</v>
      </c>
    </row>
    <row r="214" spans="2:14" ht="15.75" x14ac:dyDescent="0.25">
      <c r="B214">
        <f t="shared" si="65"/>
        <v>1800</v>
      </c>
      <c r="C214">
        <f t="shared" si="67"/>
        <v>30</v>
      </c>
      <c r="D214">
        <f t="shared" ref="D214:D215" si="95">C214/60</f>
        <v>0.5</v>
      </c>
      <c r="E214" s="8">
        <f t="shared" si="34"/>
        <v>18.781596012711358</v>
      </c>
      <c r="F214" s="8">
        <f t="shared" si="26"/>
        <v>67.613745645760886</v>
      </c>
      <c r="G214" s="12">
        <f t="shared" si="66"/>
        <v>1.0429365511813254E-2</v>
      </c>
      <c r="H214" s="10">
        <f t="shared" si="35"/>
        <v>1683.572194906571</v>
      </c>
      <c r="I214" s="7">
        <f t="shared" si="36"/>
        <v>1683572.1949065709</v>
      </c>
      <c r="J214" s="16">
        <f t="shared" si="27"/>
        <v>0.26445490196532634</v>
      </c>
      <c r="K214" s="24">
        <f t="shared" si="28"/>
        <v>16.90552823990447</v>
      </c>
      <c r="N214" s="5">
        <f t="shared" si="31"/>
        <v>1.0631361377995163E-3</v>
      </c>
    </row>
    <row r="215" spans="2:14" ht="15.75" x14ac:dyDescent="0.25">
      <c r="B215">
        <f t="shared" si="65"/>
        <v>3600</v>
      </c>
      <c r="C215">
        <f>C214*2</f>
        <v>60</v>
      </c>
      <c r="D215">
        <f t="shared" si="95"/>
        <v>1</v>
      </c>
      <c r="E215" s="8">
        <f t="shared" si="34"/>
        <v>37.51337122859092</v>
      </c>
      <c r="F215" s="8">
        <f t="shared" si="26"/>
        <v>135.04813642292731</v>
      </c>
      <c r="G215" s="12">
        <f t="shared" si="66"/>
        <v>1.0406541786599758E-2</v>
      </c>
      <c r="H215" s="10">
        <f t="shared" si="35"/>
        <v>1734.2746398585891</v>
      </c>
      <c r="I215" s="7">
        <f t="shared" si="36"/>
        <v>1734274.639858589</v>
      </c>
      <c r="J215" s="16">
        <f t="shared" si="27"/>
        <v>0.27241922339434138</v>
      </c>
      <c r="K215" s="24">
        <f t="shared" si="28"/>
        <v>67.607973191922611</v>
      </c>
      <c r="N215" s="5">
        <f t="shared" si="31"/>
        <v>1.0608095603057857E-3</v>
      </c>
    </row>
    <row r="216" spans="2:14" ht="15.75" x14ac:dyDescent="0.25">
      <c r="B216">
        <f t="shared" si="65"/>
        <v>7200</v>
      </c>
      <c r="C216">
        <f>D216*60</f>
        <v>120</v>
      </c>
      <c r="D216">
        <f>D215+1</f>
        <v>2</v>
      </c>
      <c r="E216" s="8">
        <f t="shared" si="34"/>
        <v>74.62515025292538</v>
      </c>
      <c r="F216" s="8">
        <f t="shared" si="26"/>
        <v>268.65054091053139</v>
      </c>
      <c r="G216" s="12">
        <f t="shared" si="66"/>
        <v>1.0308827506759575E-2</v>
      </c>
      <c r="H216" s="10">
        <f t="shared" si="35"/>
        <v>1936.7571670586829</v>
      </c>
      <c r="I216" s="7">
        <f t="shared" si="36"/>
        <v>1936757.1670586828</v>
      </c>
      <c r="J216" s="16">
        <f t="shared" si="27"/>
        <v>0.30422510439094685</v>
      </c>
      <c r="K216" s="24">
        <f t="shared" si="28"/>
        <v>270.09050039201634</v>
      </c>
      <c r="N216" s="5">
        <f t="shared" si="31"/>
        <v>1.0508488793842584E-3</v>
      </c>
    </row>
    <row r="217" spans="2:14" ht="15.75" x14ac:dyDescent="0.25">
      <c r="B217">
        <f t="shared" si="65"/>
        <v>10800</v>
      </c>
      <c r="C217">
        <f t="shared" si="65"/>
        <v>180</v>
      </c>
      <c r="D217">
        <f t="shared" ref="D217:D238" si="96">D216+1</f>
        <v>3</v>
      </c>
      <c r="E217" s="8">
        <f t="shared" si="34"/>
        <v>111.07172737147442</v>
      </c>
      <c r="F217" s="8">
        <f t="shared" si="26"/>
        <v>399.85821853730795</v>
      </c>
      <c r="G217" s="18">
        <f t="shared" si="66"/>
        <v>1.0124049199596957E-2</v>
      </c>
      <c r="H217" s="10">
        <f t="shared" si="35"/>
        <v>2272.2089102130162</v>
      </c>
      <c r="I217" s="7">
        <f t="shared" si="36"/>
        <v>2272208.9102130164</v>
      </c>
      <c r="J217" s="16">
        <f t="shared" si="27"/>
        <v>0.35691774098732409</v>
      </c>
      <c r="K217" s="24">
        <f t="shared" si="28"/>
        <v>605.54224354634971</v>
      </c>
      <c r="N217" s="5">
        <f t="shared" si="31"/>
        <v>1.0320131701933696E-3</v>
      </c>
    </row>
    <row r="218" spans="2:14" ht="15.75" x14ac:dyDescent="0.25">
      <c r="B218">
        <f t="shared" ref="B218:C233" si="97">C218*60</f>
        <v>14400</v>
      </c>
      <c r="C218">
        <f t="shared" si="97"/>
        <v>240</v>
      </c>
      <c r="D218">
        <f t="shared" si="96"/>
        <v>4</v>
      </c>
      <c r="E218" s="8">
        <f t="shared" si="34"/>
        <v>146.42815251461644</v>
      </c>
      <c r="F218" s="8">
        <f t="shared" si="26"/>
        <v>527.14134905261926</v>
      </c>
      <c r="G218" s="18">
        <f t="shared" ref="G218:G238" si="98">COS(J218)*$R$152</f>
        <v>9.8212292064283422E-3</v>
      </c>
      <c r="H218" s="10">
        <f t="shared" si="35"/>
        <v>2737.6709675637126</v>
      </c>
      <c r="I218" s="7">
        <f t="shared" si="36"/>
        <v>2737670.9675637125</v>
      </c>
      <c r="J218" s="16">
        <f t="shared" si="27"/>
        <v>0.43003234998221096</v>
      </c>
      <c r="K218" s="24">
        <f t="shared" si="28"/>
        <v>1071.0043008970461</v>
      </c>
      <c r="N218" s="5">
        <f t="shared" si="31"/>
        <v>1.0011446693606871E-3</v>
      </c>
    </row>
    <row r="219" spans="2:14" ht="15.75" x14ac:dyDescent="0.25">
      <c r="B219">
        <f t="shared" si="97"/>
        <v>18000</v>
      </c>
      <c r="C219">
        <f t="shared" si="97"/>
        <v>300</v>
      </c>
      <c r="D219">
        <f t="shared" si="96"/>
        <v>5</v>
      </c>
      <c r="E219" s="8">
        <f t="shared" si="34"/>
        <v>180.12970570275638</v>
      </c>
      <c r="F219" s="8">
        <f t="shared" ref="F219:F238" si="99">E219*(3600/1000)</f>
        <v>648.46694052992302</v>
      </c>
      <c r="G219" s="18">
        <f t="shared" si="98"/>
        <v>9.3615425522610932E-3</v>
      </c>
      <c r="H219" s="10">
        <f t="shared" si="35"/>
        <v>3328.453881873987</v>
      </c>
      <c r="I219" s="7">
        <f t="shared" si="36"/>
        <v>3328453.8818739871</v>
      </c>
      <c r="J219" s="16">
        <f t="shared" ref="J219:J238" si="100">(I219/20000000)*PI()</f>
        <v>0.52283231315538736</v>
      </c>
      <c r="K219" s="24">
        <f t="shared" ref="K219:K238" si="101">H219-($I$154/1000)</f>
        <v>1661.7872152073205</v>
      </c>
      <c r="N219" s="5">
        <f t="shared" ref="N219:N238" si="102">G219/9.81</f>
        <v>9.5428568320704305E-4</v>
      </c>
    </row>
    <row r="220" spans="2:14" ht="15.75" x14ac:dyDescent="0.25">
      <c r="B220">
        <f t="shared" si="97"/>
        <v>21600</v>
      </c>
      <c r="C220">
        <f t="shared" si="97"/>
        <v>360</v>
      </c>
      <c r="D220">
        <f t="shared" si="96"/>
        <v>6</v>
      </c>
      <c r="E220" s="8">
        <f t="shared" ref="E220:E238" si="103">E219+(G220*(B220-B219))</f>
        <v>211.46332269747535</v>
      </c>
      <c r="F220" s="8">
        <f t="shared" si="99"/>
        <v>761.26796171091132</v>
      </c>
      <c r="G220" s="18">
        <f t="shared" si="98"/>
        <v>8.7037824985330484E-3</v>
      </c>
      <c r="H220" s="10">
        <f t="shared" ref="H220:H238" si="104">I220/1000</f>
        <v>4037.583618142562</v>
      </c>
      <c r="I220" s="7">
        <f t="shared" ref="I220:I238" si="105">I219+(E219*(B220-B219))+((G219*(((B220-B219)^2)/2)))</f>
        <v>4037583.618142562</v>
      </c>
      <c r="J220" s="16">
        <f t="shared" si="100"/>
        <v>0.6342221516505584</v>
      </c>
      <c r="K220" s="24">
        <f t="shared" si="101"/>
        <v>2370.9169514758955</v>
      </c>
      <c r="N220" s="5">
        <f t="shared" si="102"/>
        <v>8.8723572869857782E-4</v>
      </c>
    </row>
    <row r="221" spans="2:14" ht="15.75" x14ac:dyDescent="0.25">
      <c r="B221">
        <f t="shared" si="97"/>
        <v>25200</v>
      </c>
      <c r="C221">
        <f t="shared" si="97"/>
        <v>420</v>
      </c>
      <c r="D221">
        <f t="shared" si="96"/>
        <v>7</v>
      </c>
      <c r="E221" s="8">
        <f t="shared" si="103"/>
        <v>239.58657973933819</v>
      </c>
      <c r="F221" s="8">
        <f t="shared" si="99"/>
        <v>862.51168706161752</v>
      </c>
      <c r="G221" s="18">
        <f t="shared" si="98"/>
        <v>7.8120158449618985E-3</v>
      </c>
      <c r="H221" s="10">
        <f t="shared" si="104"/>
        <v>4855.252090443968</v>
      </c>
      <c r="I221" s="7">
        <f t="shared" si="105"/>
        <v>4855252.0904439678</v>
      </c>
      <c r="J221" s="16">
        <f t="shared" si="100"/>
        <v>0.76266121493326278</v>
      </c>
      <c r="K221" s="24">
        <f t="shared" si="101"/>
        <v>3188.5854237773015</v>
      </c>
      <c r="N221" s="5">
        <f t="shared" si="102"/>
        <v>7.9633189041405689E-4</v>
      </c>
    </row>
    <row r="222" spans="2:14" ht="15.75" x14ac:dyDescent="0.25">
      <c r="B222">
        <f t="shared" si="97"/>
        <v>28800</v>
      </c>
      <c r="C222">
        <f t="shared" si="97"/>
        <v>480</v>
      </c>
      <c r="D222">
        <f t="shared" si="96"/>
        <v>8</v>
      </c>
      <c r="E222" s="8">
        <f t="shared" si="103"/>
        <v>263.579775100674</v>
      </c>
      <c r="F222" s="8">
        <f t="shared" si="99"/>
        <v>948.8871903624264</v>
      </c>
      <c r="G222" s="18">
        <f t="shared" si="98"/>
        <v>6.6647764892599406E-3</v>
      </c>
      <c r="H222" s="10">
        <f t="shared" si="104"/>
        <v>5768.385640180938</v>
      </c>
      <c r="I222" s="7">
        <f t="shared" si="105"/>
        <v>5768385.6401809379</v>
      </c>
      <c r="J222" s="16">
        <f t="shared" si="100"/>
        <v>0.90609589751326447</v>
      </c>
      <c r="K222" s="24">
        <f t="shared" si="101"/>
        <v>4101.7189735142711</v>
      </c>
      <c r="N222" s="5">
        <f t="shared" si="102"/>
        <v>6.7938598259530483E-4</v>
      </c>
    </row>
    <row r="223" spans="2:14" ht="15.75" x14ac:dyDescent="0.25">
      <c r="B223">
        <f t="shared" si="97"/>
        <v>32400</v>
      </c>
      <c r="C223">
        <f t="shared" si="97"/>
        <v>540</v>
      </c>
      <c r="D223">
        <f t="shared" si="96"/>
        <v>9</v>
      </c>
      <c r="E223" s="8">
        <f t="shared" si="103"/>
        <v>282.53037291010418</v>
      </c>
      <c r="F223" s="8">
        <f t="shared" si="99"/>
        <v>1017.1093424763751</v>
      </c>
      <c r="G223" s="18">
        <f t="shared" si="98"/>
        <v>5.2640549470639349E-3</v>
      </c>
      <c r="H223" s="10">
        <f t="shared" si="104"/>
        <v>6760.4605821937685</v>
      </c>
      <c r="I223" s="7">
        <f t="shared" si="105"/>
        <v>6760460.5821937686</v>
      </c>
      <c r="J223" s="16">
        <f t="shared" si="100"/>
        <v>1.0619306649951661</v>
      </c>
      <c r="K223" s="24">
        <f t="shared" si="101"/>
        <v>5093.7939155271015</v>
      </c>
      <c r="N223" s="5">
        <f t="shared" si="102"/>
        <v>5.366009120350596E-4</v>
      </c>
    </row>
    <row r="224" spans="2:14" ht="15.75" x14ac:dyDescent="0.25">
      <c r="B224">
        <f t="shared" si="97"/>
        <v>36000</v>
      </c>
      <c r="C224">
        <f t="shared" si="97"/>
        <v>600</v>
      </c>
      <c r="D224">
        <f t="shared" si="96"/>
        <v>10</v>
      </c>
      <c r="E224" s="8">
        <f t="shared" si="103"/>
        <v>295.63942595038822</v>
      </c>
      <c r="F224" s="8">
        <f t="shared" si="99"/>
        <v>1064.3019334213975</v>
      </c>
      <c r="G224" s="18">
        <f t="shared" si="98"/>
        <v>3.6414036223011204E-3</v>
      </c>
      <c r="H224" s="10">
        <f t="shared" si="104"/>
        <v>7811.6810007271179</v>
      </c>
      <c r="I224" s="7">
        <f t="shared" si="105"/>
        <v>7811681.000727118</v>
      </c>
      <c r="J224" s="16">
        <f t="shared" si="100"/>
        <v>1.2270559822035638</v>
      </c>
      <c r="K224" s="24">
        <f t="shared" si="101"/>
        <v>6145.0143340604518</v>
      </c>
      <c r="N224" s="5">
        <f t="shared" si="102"/>
        <v>3.7119302979624058E-4</v>
      </c>
    </row>
    <row r="225" spans="2:14" ht="15.75" x14ac:dyDescent="0.25">
      <c r="B225">
        <f t="shared" si="97"/>
        <v>39600</v>
      </c>
      <c r="C225">
        <f t="shared" si="97"/>
        <v>660</v>
      </c>
      <c r="D225">
        <f t="shared" si="96"/>
        <v>11</v>
      </c>
      <c r="E225" s="8">
        <f t="shared" si="103"/>
        <v>302.32965673755768</v>
      </c>
      <c r="F225" s="8">
        <f t="shared" si="99"/>
        <v>1088.3867642552077</v>
      </c>
      <c r="G225" s="18">
        <f t="shared" si="98"/>
        <v>1.8583974408804048E-3</v>
      </c>
      <c r="H225" s="10">
        <f t="shared" si="104"/>
        <v>8899.5792296210293</v>
      </c>
      <c r="I225" s="7">
        <f t="shared" si="105"/>
        <v>8899579.2296210285</v>
      </c>
      <c r="J225" s="16">
        <f t="shared" si="100"/>
        <v>1.3979426363908867</v>
      </c>
      <c r="K225" s="24">
        <f t="shared" si="101"/>
        <v>7232.9125629543632</v>
      </c>
      <c r="N225" s="5">
        <f t="shared" si="102"/>
        <v>1.8943908673602495E-4</v>
      </c>
    </row>
    <row r="226" spans="2:14" ht="15.75" x14ac:dyDescent="0.25">
      <c r="B226">
        <f t="shared" si="97"/>
        <v>43200</v>
      </c>
      <c r="C226">
        <f t="shared" si="97"/>
        <v>720</v>
      </c>
      <c r="D226">
        <f t="shared" si="96"/>
        <v>12</v>
      </c>
      <c r="E226" s="8">
        <f t="shared" si="103"/>
        <v>302.32960535607396</v>
      </c>
      <c r="F226" s="8">
        <f t="shared" si="99"/>
        <v>1088.3865792818663</v>
      </c>
      <c r="G226" s="18">
        <f t="shared" si="98"/>
        <v>-1.4272634362667665E-8</v>
      </c>
      <c r="H226" s="10">
        <f t="shared" si="104"/>
        <v>10000.008409293141</v>
      </c>
      <c r="I226" s="7">
        <f t="shared" si="105"/>
        <v>10000008.409293141</v>
      </c>
      <c r="J226" s="16">
        <f t="shared" si="100"/>
        <v>1.5707976477235743</v>
      </c>
      <c r="K226" s="24">
        <f t="shared" si="101"/>
        <v>8333.341742626475</v>
      </c>
      <c r="N226" s="5">
        <f t="shared" si="102"/>
        <v>-1.4549066628611279E-9</v>
      </c>
    </row>
    <row r="227" spans="2:14" ht="15.75" x14ac:dyDescent="0.25">
      <c r="B227">
        <f t="shared" si="97"/>
        <v>46800</v>
      </c>
      <c r="C227">
        <f t="shared" si="97"/>
        <v>780</v>
      </c>
      <c r="D227">
        <f t="shared" si="96"/>
        <v>13</v>
      </c>
      <c r="E227" s="8">
        <f t="shared" si="103"/>
        <v>295.71177057084452</v>
      </c>
      <c r="F227" s="8">
        <f t="shared" si="99"/>
        <v>1064.5623740550402</v>
      </c>
      <c r="G227" s="18">
        <f t="shared" si="98"/>
        <v>-1.8382874403415129E-3</v>
      </c>
      <c r="H227" s="10">
        <f t="shared" si="104"/>
        <v>11088.394896088337</v>
      </c>
      <c r="I227" s="7">
        <f t="shared" si="105"/>
        <v>11088394.896088338</v>
      </c>
      <c r="J227" s="16">
        <f t="shared" si="100"/>
        <v>1.741760997282684</v>
      </c>
      <c r="K227" s="24">
        <f t="shared" si="101"/>
        <v>9421.7282294216711</v>
      </c>
      <c r="N227" s="5">
        <f t="shared" si="102"/>
        <v>-1.8738913764949162E-4</v>
      </c>
    </row>
    <row r="228" spans="2:14" ht="15.75" x14ac:dyDescent="0.25">
      <c r="B228">
        <f t="shared" si="97"/>
        <v>50400</v>
      </c>
      <c r="C228">
        <f t="shared" si="97"/>
        <v>840</v>
      </c>
      <c r="D228">
        <f t="shared" si="96"/>
        <v>14</v>
      </c>
      <c r="E228" s="8">
        <f t="shared" si="103"/>
        <v>282.87502617415333</v>
      </c>
      <c r="F228" s="8">
        <f t="shared" si="99"/>
        <v>1018.350094226952</v>
      </c>
      <c r="G228" s="18">
        <f t="shared" si="98"/>
        <v>-3.5657623324142126E-3</v>
      </c>
      <c r="H228" s="10">
        <f t="shared" si="104"/>
        <v>12141.045167529965</v>
      </c>
      <c r="I228" s="7">
        <f t="shared" si="105"/>
        <v>12141045.167529965</v>
      </c>
      <c r="J228" s="16">
        <f t="shared" si="100"/>
        <v>1.9071109152606998</v>
      </c>
      <c r="K228" s="24">
        <f t="shared" si="101"/>
        <v>10474.378500863299</v>
      </c>
      <c r="N228" s="5">
        <f t="shared" si="102"/>
        <v>-3.634823988189819E-4</v>
      </c>
    </row>
    <row r="229" spans="2:14" ht="15.75" x14ac:dyDescent="0.25">
      <c r="B229">
        <f t="shared" si="97"/>
        <v>54000</v>
      </c>
      <c r="C229">
        <f t="shared" si="97"/>
        <v>900</v>
      </c>
      <c r="D229">
        <f t="shared" si="96"/>
        <v>15</v>
      </c>
      <c r="E229" s="8">
        <f t="shared" si="103"/>
        <v>264.47783206258799</v>
      </c>
      <c r="F229" s="8">
        <f t="shared" si="99"/>
        <v>952.12019542531675</v>
      </c>
      <c r="G229" s="18">
        <f t="shared" si="98"/>
        <v>-5.1103316976570442E-3</v>
      </c>
      <c r="H229" s="10">
        <f t="shared" si="104"/>
        <v>13136.289121842874</v>
      </c>
      <c r="I229" s="7">
        <f t="shared" si="105"/>
        <v>13136289.121842874</v>
      </c>
      <c r="J229" s="16">
        <f t="shared" si="100"/>
        <v>2.0634434700306543</v>
      </c>
      <c r="K229" s="24">
        <f t="shared" si="101"/>
        <v>11469.622455176208</v>
      </c>
      <c r="N229" s="5">
        <f t="shared" si="102"/>
        <v>-5.2093085603027972E-4</v>
      </c>
    </row>
    <row r="230" spans="2:14" ht="15.75" x14ac:dyDescent="0.25">
      <c r="B230">
        <f t="shared" si="97"/>
        <v>57600</v>
      </c>
      <c r="C230">
        <f t="shared" si="97"/>
        <v>960</v>
      </c>
      <c r="D230">
        <f t="shared" si="96"/>
        <v>16</v>
      </c>
      <c r="E230" s="8">
        <f t="shared" si="103"/>
        <v>241.34169818096618</v>
      </c>
      <c r="F230" s="8">
        <f t="shared" si="99"/>
        <v>868.83011345147827</v>
      </c>
      <c r="G230" s="18">
        <f t="shared" si="98"/>
        <v>-6.4267038560060601E-3</v>
      </c>
      <c r="H230" s="10">
        <f t="shared" si="104"/>
        <v>14055.294367867373</v>
      </c>
      <c r="I230" s="7">
        <f t="shared" si="105"/>
        <v>14055294.367867373</v>
      </c>
      <c r="J230" s="16">
        <f t="shared" si="100"/>
        <v>2.2078004765067067</v>
      </c>
      <c r="K230" s="24">
        <f t="shared" si="101"/>
        <v>12388.627701200707</v>
      </c>
      <c r="N230" s="5">
        <f t="shared" si="102"/>
        <v>-6.5511762038797752E-4</v>
      </c>
    </row>
    <row r="231" spans="2:14" ht="15.75" x14ac:dyDescent="0.25">
      <c r="B231">
        <f t="shared" si="97"/>
        <v>61200</v>
      </c>
      <c r="C231">
        <f t="shared" si="97"/>
        <v>1020</v>
      </c>
      <c r="D231">
        <f t="shared" si="96"/>
        <v>17</v>
      </c>
      <c r="E231" s="8">
        <f t="shared" si="103"/>
        <v>214.34906155345348</v>
      </c>
      <c r="F231" s="8">
        <f t="shared" si="99"/>
        <v>771.65662159243254</v>
      </c>
      <c r="G231" s="18">
        <f t="shared" si="98"/>
        <v>-7.497954618753527E-3</v>
      </c>
      <c r="H231" s="10">
        <f t="shared" si="104"/>
        <v>14882.479440331932</v>
      </c>
      <c r="I231" s="7">
        <f t="shared" si="105"/>
        <v>14882479.440331932</v>
      </c>
      <c r="J231" s="16">
        <f t="shared" si="100"/>
        <v>2.3377344038473966</v>
      </c>
      <c r="K231" s="24">
        <f t="shared" si="101"/>
        <v>13215.812773665266</v>
      </c>
      <c r="N231" s="5">
        <f t="shared" si="102"/>
        <v>-7.6431749426641451E-4</v>
      </c>
    </row>
    <row r="232" spans="2:14" ht="15.75" x14ac:dyDescent="0.25">
      <c r="B232">
        <f t="shared" si="97"/>
        <v>64800</v>
      </c>
      <c r="C232">
        <f t="shared" si="97"/>
        <v>1080</v>
      </c>
      <c r="D232">
        <f t="shared" si="96"/>
        <v>18</v>
      </c>
      <c r="E232" s="8">
        <f t="shared" si="103"/>
        <v>184.3560358275671</v>
      </c>
      <c r="F232" s="8">
        <f t="shared" si="99"/>
        <v>663.6817289792416</v>
      </c>
      <c r="G232" s="18">
        <f t="shared" si="98"/>
        <v>-8.3313960349684392E-3</v>
      </c>
      <c r="H232" s="10">
        <f t="shared" si="104"/>
        <v>15605.549315994842</v>
      </c>
      <c r="I232" s="7">
        <f t="shared" si="105"/>
        <v>15605549.315994842</v>
      </c>
      <c r="J232" s="16">
        <f t="shared" si="100"/>
        <v>2.451313954318131</v>
      </c>
      <c r="K232" s="24">
        <f t="shared" si="101"/>
        <v>13938.882649328176</v>
      </c>
      <c r="N232" s="5">
        <f t="shared" si="102"/>
        <v>-8.4927584454316395E-4</v>
      </c>
    </row>
    <row r="233" spans="2:14" ht="15.75" x14ac:dyDescent="0.25">
      <c r="B233">
        <f t="shared" si="97"/>
        <v>68400</v>
      </c>
      <c r="C233">
        <f t="shared" si="97"/>
        <v>1140</v>
      </c>
      <c r="D233">
        <f t="shared" si="96"/>
        <v>19</v>
      </c>
      <c r="E233" s="8">
        <f t="shared" si="103"/>
        <v>152.13199567125292</v>
      </c>
      <c r="F233" s="8">
        <f t="shared" si="99"/>
        <v>547.67518441651055</v>
      </c>
      <c r="G233" s="18">
        <f t="shared" si="98"/>
        <v>-8.9511222656428295E-3</v>
      </c>
      <c r="H233" s="10">
        <f t="shared" si="104"/>
        <v>16215.243598667488</v>
      </c>
      <c r="I233" s="7">
        <f t="shared" si="105"/>
        <v>16215243.598667488</v>
      </c>
      <c r="J233" s="16">
        <f t="shared" si="100"/>
        <v>2.547084508287135</v>
      </c>
      <c r="K233" s="24">
        <f t="shared" si="101"/>
        <v>14548.576932000822</v>
      </c>
      <c r="N233" s="5">
        <f t="shared" si="102"/>
        <v>-9.1244875286878994E-4</v>
      </c>
    </row>
    <row r="234" spans="2:14" ht="15.75" x14ac:dyDescent="0.25">
      <c r="B234">
        <f t="shared" ref="B234:C238" si="106">C234*60</f>
        <v>72000</v>
      </c>
      <c r="C234">
        <f t="shared" si="106"/>
        <v>1200</v>
      </c>
      <c r="D234">
        <f t="shared" si="96"/>
        <v>20</v>
      </c>
      <c r="E234" s="8">
        <f t="shared" si="103"/>
        <v>118.329096400305</v>
      </c>
      <c r="F234" s="8">
        <f t="shared" si="99"/>
        <v>425.98474704109805</v>
      </c>
      <c r="G234" s="18">
        <f t="shared" si="98"/>
        <v>-9.3896942419299766E-3</v>
      </c>
      <c r="H234" s="10">
        <f t="shared" si="104"/>
        <v>16704.915510802632</v>
      </c>
      <c r="I234" s="7">
        <f t="shared" si="105"/>
        <v>16704915.510802632</v>
      </c>
      <c r="J234" s="16">
        <f t="shared" si="100"/>
        <v>2.6240019923787865</v>
      </c>
      <c r="K234" s="24">
        <f t="shared" si="101"/>
        <v>15038.248844135966</v>
      </c>
      <c r="N234" s="5">
        <f t="shared" si="102"/>
        <v>-9.571553763435246E-4</v>
      </c>
    </row>
    <row r="235" spans="2:14" ht="15.75" x14ac:dyDescent="0.25">
      <c r="B235">
        <f t="shared" si="106"/>
        <v>75600</v>
      </c>
      <c r="C235">
        <f t="shared" si="106"/>
        <v>1260</v>
      </c>
      <c r="D235">
        <f t="shared" si="96"/>
        <v>21</v>
      </c>
      <c r="E235" s="8">
        <f t="shared" si="103"/>
        <v>83.478499897562671</v>
      </c>
      <c r="F235" s="8">
        <f t="shared" si="99"/>
        <v>300.5225996312256</v>
      </c>
      <c r="G235" s="18">
        <f t="shared" si="98"/>
        <v>-9.6807212507617601E-3</v>
      </c>
      <c r="H235" s="10">
        <f t="shared" si="104"/>
        <v>17070.055039156025</v>
      </c>
      <c r="I235" s="7">
        <f t="shared" si="105"/>
        <v>17070055.039156023</v>
      </c>
      <c r="J235" s="16">
        <f t="shared" si="100"/>
        <v>2.6813579753692993</v>
      </c>
      <c r="K235" s="24">
        <f t="shared" si="101"/>
        <v>15403.388372489359</v>
      </c>
      <c r="N235" s="5">
        <f t="shared" si="102"/>
        <v>-9.8682173810007751E-4</v>
      </c>
    </row>
    <row r="236" spans="2:14" ht="15.75" x14ac:dyDescent="0.25">
      <c r="B236">
        <f t="shared" si="106"/>
        <v>79200</v>
      </c>
      <c r="C236">
        <f t="shared" si="106"/>
        <v>1320</v>
      </c>
      <c r="D236">
        <f t="shared" si="96"/>
        <v>22</v>
      </c>
      <c r="E236" s="8">
        <f t="shared" si="103"/>
        <v>48.007032874023722</v>
      </c>
      <c r="F236" s="8">
        <f t="shared" si="99"/>
        <v>172.8253183464854</v>
      </c>
      <c r="G236" s="18">
        <f t="shared" si="98"/>
        <v>-9.8531852843163747E-3</v>
      </c>
      <c r="H236" s="10">
        <f t="shared" si="104"/>
        <v>17307.846565082313</v>
      </c>
      <c r="I236" s="7">
        <f t="shared" si="105"/>
        <v>17307846.565082312</v>
      </c>
      <c r="J236" s="16">
        <f t="shared" si="100"/>
        <v>2.7187101809160965</v>
      </c>
      <c r="K236" s="24">
        <f t="shared" si="101"/>
        <v>15641.179898415647</v>
      </c>
      <c r="N236" s="5">
        <f t="shared" si="102"/>
        <v>-1.004402169655084E-3</v>
      </c>
    </row>
    <row r="237" spans="2:14" ht="15.75" x14ac:dyDescent="0.25">
      <c r="B237">
        <f t="shared" si="106"/>
        <v>82800</v>
      </c>
      <c r="C237">
        <f t="shared" si="106"/>
        <v>1380</v>
      </c>
      <c r="D237">
        <f t="shared" si="96"/>
        <v>23</v>
      </c>
      <c r="E237" s="8">
        <f t="shared" si="103"/>
        <v>12.267514743708531</v>
      </c>
      <c r="F237" s="8">
        <f t="shared" si="99"/>
        <v>44.163053077350718</v>
      </c>
      <c r="G237" s="18">
        <f t="shared" si="98"/>
        <v>-9.9276439250875533E-3</v>
      </c>
      <c r="H237" s="10">
        <f t="shared" si="104"/>
        <v>17416.823242786428</v>
      </c>
      <c r="I237" s="7">
        <f t="shared" si="105"/>
        <v>17416823.242786426</v>
      </c>
      <c r="J237" s="16">
        <f t="shared" si="100"/>
        <v>2.7358281974204894</v>
      </c>
      <c r="K237" s="24">
        <f t="shared" si="101"/>
        <v>15750.156576119762</v>
      </c>
      <c r="N237" s="5">
        <f t="shared" si="102"/>
        <v>-1.0119922451669269E-3</v>
      </c>
    </row>
    <row r="238" spans="2:14" ht="15.75" x14ac:dyDescent="0.25">
      <c r="B238">
        <f t="shared" si="106"/>
        <v>86400</v>
      </c>
      <c r="C238">
        <f t="shared" si="106"/>
        <v>1440</v>
      </c>
      <c r="D238">
        <f t="shared" si="96"/>
        <v>24</v>
      </c>
      <c r="E238" s="22">
        <f t="shared" si="103"/>
        <v>-23.423183155536144</v>
      </c>
      <c r="F238" s="8">
        <f t="shared" si="99"/>
        <v>-84.323459359930126</v>
      </c>
      <c r="G238" s="18">
        <f t="shared" si="98"/>
        <v>-9.9140827497901877E-3</v>
      </c>
      <c r="H238" s="10">
        <f t="shared" si="104"/>
        <v>17396.655163229207</v>
      </c>
      <c r="I238" s="7">
        <f t="shared" si="105"/>
        <v>17396655.163229208</v>
      </c>
      <c r="J238" s="16">
        <f t="shared" si="100"/>
        <v>2.7326602028917915</v>
      </c>
      <c r="K238" s="24">
        <f t="shared" si="101"/>
        <v>15729.988496562541</v>
      </c>
      <c r="N238" s="5">
        <f t="shared" si="102"/>
        <v>-1.0106098623639335E-3</v>
      </c>
    </row>
    <row r="239" spans="2:14" x14ac:dyDescent="0.25">
      <c r="I239" s="10"/>
    </row>
    <row r="240" spans="2:14" x14ac:dyDescent="0.25">
      <c r="I240" s="10"/>
    </row>
    <row r="241" spans="9:19" x14ac:dyDescent="0.25">
      <c r="I241" s="10"/>
      <c r="M241" t="s">
        <v>120</v>
      </c>
    </row>
    <row r="242" spans="9:19" x14ac:dyDescent="0.25">
      <c r="I242" s="10"/>
    </row>
    <row r="243" spans="9:19" x14ac:dyDescent="0.25">
      <c r="I243" s="10"/>
      <c r="L243" t="s">
        <v>164</v>
      </c>
      <c r="M243" t="s">
        <v>121</v>
      </c>
      <c r="Q243" t="s">
        <v>132</v>
      </c>
    </row>
    <row r="244" spans="9:19" x14ac:dyDescent="0.25">
      <c r="I244" s="10"/>
      <c r="N244" t="s">
        <v>122</v>
      </c>
      <c r="O244">
        <v>15247.63</v>
      </c>
      <c r="P244" t="s">
        <v>69</v>
      </c>
      <c r="Q244">
        <f>O244/2</f>
        <v>7623.8149999999996</v>
      </c>
    </row>
    <row r="245" spans="9:19" x14ac:dyDescent="0.25">
      <c r="I245" s="10"/>
      <c r="N245" t="s">
        <v>123</v>
      </c>
      <c r="O245">
        <v>15243.76</v>
      </c>
      <c r="P245" t="s">
        <v>69</v>
      </c>
      <c r="Q245">
        <f>O245/2</f>
        <v>7621.88</v>
      </c>
    </row>
    <row r="246" spans="9:19" x14ac:dyDescent="0.25">
      <c r="I246" s="10"/>
      <c r="N246" t="s">
        <v>124</v>
      </c>
      <c r="O246">
        <v>22.45</v>
      </c>
      <c r="P246" t="s">
        <v>71</v>
      </c>
    </row>
    <row r="247" spans="9:19" ht="15.75" thickBot="1" x14ac:dyDescent="0.3">
      <c r="I247" s="10"/>
      <c r="N247" t="s">
        <v>125</v>
      </c>
      <c r="P247" t="s">
        <v>126</v>
      </c>
    </row>
    <row r="248" spans="9:19" x14ac:dyDescent="0.25">
      <c r="I248" s="10"/>
      <c r="N248" t="s">
        <v>127</v>
      </c>
      <c r="O248" s="38" t="s">
        <v>128</v>
      </c>
    </row>
    <row r="249" spans="9:19" ht="15.75" thickBot="1" x14ac:dyDescent="0.3">
      <c r="N249" t="s">
        <v>129</v>
      </c>
      <c r="O249" s="39" t="s">
        <v>130</v>
      </c>
    </row>
    <row r="251" spans="9:19" x14ac:dyDescent="0.25">
      <c r="L251" t="s">
        <v>163</v>
      </c>
      <c r="M251" t="s">
        <v>131</v>
      </c>
    </row>
    <row r="252" spans="9:19" x14ac:dyDescent="0.25">
      <c r="N252" t="s">
        <v>122</v>
      </c>
      <c r="O252">
        <v>16047.24</v>
      </c>
      <c r="P252" t="s">
        <v>69</v>
      </c>
      <c r="Q252">
        <f t="shared" ref="Q252:Q253" si="107">O252/2</f>
        <v>8023.62</v>
      </c>
    </row>
    <row r="253" spans="9:19" x14ac:dyDescent="0.25">
      <c r="N253" t="s">
        <v>123</v>
      </c>
      <c r="O253">
        <v>16040.11</v>
      </c>
      <c r="P253" t="s">
        <v>69</v>
      </c>
      <c r="Q253">
        <f t="shared" si="107"/>
        <v>8020.0550000000003</v>
      </c>
      <c r="S253">
        <f>O253-O245</f>
        <v>796.35000000000036</v>
      </c>
    </row>
    <row r="254" spans="9:19" x14ac:dyDescent="0.25">
      <c r="N254" t="s">
        <v>124</v>
      </c>
      <c r="O254">
        <v>327.91</v>
      </c>
      <c r="P254" t="s">
        <v>71</v>
      </c>
      <c r="Q254">
        <f>O254-360</f>
        <v>-32.089999999999975</v>
      </c>
    </row>
    <row r="255" spans="9:19" ht="15.75" thickBot="1" x14ac:dyDescent="0.3">
      <c r="N255" t="s">
        <v>125</v>
      </c>
      <c r="P255" t="s">
        <v>133</v>
      </c>
    </row>
    <row r="256" spans="9:19" x14ac:dyDescent="0.25">
      <c r="N256" t="s">
        <v>127</v>
      </c>
      <c r="O256" s="40" t="s">
        <v>134</v>
      </c>
    </row>
    <row r="257" spans="12:20" ht="15.75" thickBot="1" x14ac:dyDescent="0.3">
      <c r="N257" t="s">
        <v>129</v>
      </c>
      <c r="O257" s="41" t="s">
        <v>135</v>
      </c>
    </row>
    <row r="259" spans="12:20" x14ac:dyDescent="0.25">
      <c r="L259" t="s">
        <v>162</v>
      </c>
      <c r="M259" t="s">
        <v>136</v>
      </c>
    </row>
    <row r="260" spans="12:20" x14ac:dyDescent="0.25">
      <c r="N260" t="s">
        <v>122</v>
      </c>
      <c r="O260">
        <v>16664.18</v>
      </c>
      <c r="P260" t="s">
        <v>69</v>
      </c>
      <c r="Q260">
        <f t="shared" ref="Q260:Q261" si="108">O260/2</f>
        <v>8332.09</v>
      </c>
    </row>
    <row r="261" spans="12:20" x14ac:dyDescent="0.25">
      <c r="N261" t="s">
        <v>123</v>
      </c>
      <c r="O261">
        <v>16664.05</v>
      </c>
      <c r="P261" t="s">
        <v>69</v>
      </c>
      <c r="Q261">
        <f t="shared" si="108"/>
        <v>8332.0249999999996</v>
      </c>
      <c r="S261">
        <f>O261-O253</f>
        <v>623.93999999999869</v>
      </c>
      <c r="T261">
        <f>S253-S261</f>
        <v>172.41000000000167</v>
      </c>
    </row>
    <row r="262" spans="12:20" x14ac:dyDescent="0.25">
      <c r="N262" t="s">
        <v>124</v>
      </c>
      <c r="O262">
        <v>226.76</v>
      </c>
      <c r="P262" t="s">
        <v>71</v>
      </c>
      <c r="Q262">
        <f>O262-360</f>
        <v>-133.24</v>
      </c>
    </row>
    <row r="263" spans="12:20" ht="15.75" thickBot="1" x14ac:dyDescent="0.3">
      <c r="N263" t="s">
        <v>125</v>
      </c>
      <c r="P263" t="s">
        <v>137</v>
      </c>
    </row>
    <row r="264" spans="12:20" x14ac:dyDescent="0.25">
      <c r="N264" t="s">
        <v>139</v>
      </c>
      <c r="O264" s="40" t="s">
        <v>138</v>
      </c>
    </row>
    <row r="265" spans="12:20" ht="15.75" thickBot="1" x14ac:dyDescent="0.3">
      <c r="N265" t="s">
        <v>129</v>
      </c>
      <c r="O265" s="41" t="s">
        <v>140</v>
      </c>
    </row>
    <row r="267" spans="12:20" x14ac:dyDescent="0.25">
      <c r="L267" t="s">
        <v>161</v>
      </c>
      <c r="M267" t="s">
        <v>143</v>
      </c>
    </row>
    <row r="268" spans="12:20" x14ac:dyDescent="0.25">
      <c r="N268" t="s">
        <v>142</v>
      </c>
      <c r="O268">
        <v>16701.63</v>
      </c>
      <c r="P268" t="s">
        <v>69</v>
      </c>
      <c r="Q268">
        <f t="shared" ref="Q268" si="109">O268/2</f>
        <v>8350.8150000000005</v>
      </c>
    </row>
    <row r="269" spans="12:20" x14ac:dyDescent="0.25">
      <c r="N269" t="s">
        <v>141</v>
      </c>
      <c r="O269" s="4">
        <f>2*Q269</f>
        <v>17567.109999999993</v>
      </c>
      <c r="P269" t="s">
        <v>69</v>
      </c>
      <c r="Q269" s="4">
        <f>Q261+S269</f>
        <v>8783.5549999999967</v>
      </c>
      <c r="S269">
        <f>S261-$T$261</f>
        <v>451.52999999999702</v>
      </c>
    </row>
    <row r="270" spans="12:20" x14ac:dyDescent="0.25">
      <c r="N270" t="s">
        <v>124</v>
      </c>
      <c r="P270" t="s">
        <v>71</v>
      </c>
    </row>
    <row r="271" spans="12:20" ht="15.75" thickBot="1" x14ac:dyDescent="0.3">
      <c r="N271" t="s">
        <v>125</v>
      </c>
      <c r="P271" t="s">
        <v>144</v>
      </c>
    </row>
    <row r="272" spans="12:20" x14ac:dyDescent="0.25">
      <c r="N272" t="s">
        <v>127</v>
      </c>
      <c r="O272" s="40" t="s">
        <v>145</v>
      </c>
    </row>
    <row r="273" spans="12:19" ht="15.75" thickBot="1" x14ac:dyDescent="0.3">
      <c r="N273" t="s">
        <v>152</v>
      </c>
      <c r="O273" s="41" t="s">
        <v>146</v>
      </c>
    </row>
    <row r="275" spans="12:19" x14ac:dyDescent="0.25">
      <c r="L275" t="s">
        <v>159</v>
      </c>
      <c r="M275" t="s">
        <v>153</v>
      </c>
    </row>
    <row r="276" spans="12:19" x14ac:dyDescent="0.25">
      <c r="N276" t="s">
        <v>142</v>
      </c>
      <c r="O276">
        <v>17099.3</v>
      </c>
      <c r="P276" t="s">
        <v>69</v>
      </c>
      <c r="Q276">
        <f t="shared" ref="Q276" si="110">O276/2</f>
        <v>8549.65</v>
      </c>
    </row>
    <row r="277" spans="12:19" x14ac:dyDescent="0.25">
      <c r="N277" t="s">
        <v>141</v>
      </c>
      <c r="O277" s="4">
        <f>2*Q277</f>
        <v>18125.349999999984</v>
      </c>
      <c r="P277" t="s">
        <v>69</v>
      </c>
      <c r="Q277" s="4">
        <f>Q269+S277</f>
        <v>9062.674999999992</v>
      </c>
      <c r="S277">
        <f>S269-$T$261</f>
        <v>279.11999999999534</v>
      </c>
    </row>
    <row r="278" spans="12:19" x14ac:dyDescent="0.25">
      <c r="N278" t="s">
        <v>124</v>
      </c>
      <c r="O278">
        <v>160.18</v>
      </c>
      <c r="P278" t="s">
        <v>71</v>
      </c>
    </row>
    <row r="279" spans="12:19" ht="15.75" thickBot="1" x14ac:dyDescent="0.3">
      <c r="N279" t="s">
        <v>125</v>
      </c>
      <c r="P279" s="42" t="s">
        <v>147</v>
      </c>
    </row>
    <row r="280" spans="12:19" x14ac:dyDescent="0.25">
      <c r="N280" t="s">
        <v>149</v>
      </c>
      <c r="O280" s="38" t="s">
        <v>148</v>
      </c>
    </row>
    <row r="281" spans="12:19" ht="15.75" thickBot="1" x14ac:dyDescent="0.3">
      <c r="N281" t="s">
        <v>151</v>
      </c>
      <c r="O281" s="41" t="s">
        <v>150</v>
      </c>
    </row>
    <row r="283" spans="12:19" ht="15.75" thickBot="1" x14ac:dyDescent="0.3">
      <c r="L283" t="s">
        <v>160</v>
      </c>
      <c r="M283" t="s">
        <v>154</v>
      </c>
    </row>
    <row r="284" spans="12:19" x14ac:dyDescent="0.25">
      <c r="N284" t="s">
        <v>142</v>
      </c>
      <c r="O284" s="40">
        <v>16663.39</v>
      </c>
      <c r="P284" t="s">
        <v>69</v>
      </c>
      <c r="Q284">
        <f t="shared" ref="Q284" si="111">O284/2</f>
        <v>8331.6949999999997</v>
      </c>
    </row>
    <row r="285" spans="12:19" x14ac:dyDescent="0.25">
      <c r="N285" t="s">
        <v>141</v>
      </c>
      <c r="O285" s="4">
        <f>2*Q285</f>
        <v>17567.109999999993</v>
      </c>
      <c r="P285" t="s">
        <v>69</v>
      </c>
      <c r="Q285" s="4">
        <f>Q261+S285</f>
        <v>8783.5549999999967</v>
      </c>
      <c r="S285">
        <f>S261-$T$261</f>
        <v>451.52999999999702</v>
      </c>
    </row>
    <row r="286" spans="12:19" x14ac:dyDescent="0.25">
      <c r="N286" t="s">
        <v>124</v>
      </c>
      <c r="P286" t="s">
        <v>71</v>
      </c>
    </row>
    <row r="287" spans="12:19" ht="15.75" thickBot="1" x14ac:dyDescent="0.3">
      <c r="N287" t="s">
        <v>125</v>
      </c>
      <c r="P287" t="s">
        <v>156</v>
      </c>
    </row>
    <row r="288" spans="12:19" x14ac:dyDescent="0.25">
      <c r="N288" t="s">
        <v>139</v>
      </c>
      <c r="O288" s="40" t="s">
        <v>157</v>
      </c>
    </row>
    <row r="289" spans="12:19" ht="15.75" thickBot="1" x14ac:dyDescent="0.3">
      <c r="N289" t="s">
        <v>167</v>
      </c>
      <c r="O289" s="41" t="s">
        <v>168</v>
      </c>
    </row>
    <row r="291" spans="12:19" x14ac:dyDescent="0.25">
      <c r="L291" t="s">
        <v>158</v>
      </c>
      <c r="M291" t="s">
        <v>155</v>
      </c>
    </row>
    <row r="292" spans="12:19" x14ac:dyDescent="0.25">
      <c r="N292" t="s">
        <v>142</v>
      </c>
      <c r="O292">
        <v>16612.63</v>
      </c>
      <c r="P292" t="s">
        <v>69</v>
      </c>
      <c r="Q292">
        <f t="shared" ref="Q292" si="112">O292/2</f>
        <v>8306.3150000000005</v>
      </c>
    </row>
    <row r="293" spans="12:19" x14ac:dyDescent="0.25">
      <c r="N293" t="s">
        <v>141</v>
      </c>
      <c r="O293" s="4">
        <f>2*Q293</f>
        <v>18125.349999999984</v>
      </c>
      <c r="P293" t="s">
        <v>69</v>
      </c>
      <c r="Q293" s="4">
        <f>Q285+S293</f>
        <v>9062.674999999992</v>
      </c>
      <c r="S293">
        <f>S285-$T$261</f>
        <v>279.11999999999534</v>
      </c>
    </row>
    <row r="294" spans="12:19" x14ac:dyDescent="0.25">
      <c r="N294" t="s">
        <v>124</v>
      </c>
      <c r="O294">
        <v>206.76</v>
      </c>
      <c r="P294" t="s">
        <v>71</v>
      </c>
    </row>
    <row r="295" spans="12:19" ht="15.75" thickBot="1" x14ac:dyDescent="0.3">
      <c r="N295" t="s">
        <v>125</v>
      </c>
      <c r="P295" s="42"/>
    </row>
    <row r="296" spans="12:19" x14ac:dyDescent="0.25">
      <c r="N296" t="s">
        <v>127</v>
      </c>
      <c r="O296" s="38" t="s">
        <v>165</v>
      </c>
    </row>
    <row r="297" spans="12:19" ht="15.75" thickBot="1" x14ac:dyDescent="0.3">
      <c r="N297" t="s">
        <v>152</v>
      </c>
      <c r="O297" s="41" t="s">
        <v>166</v>
      </c>
    </row>
  </sheetData>
  <mergeCells count="1">
    <mergeCell ref="T82:V8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am Whom I am</dc:creator>
  <cp:lastModifiedBy>I am Whom I am</cp:lastModifiedBy>
  <dcterms:created xsi:type="dcterms:W3CDTF">2011-08-01T08:21:14Z</dcterms:created>
  <dcterms:modified xsi:type="dcterms:W3CDTF">2012-06-18T23:53:59Z</dcterms:modified>
</cp:coreProperties>
</file>